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:\Clients\WorkWell\2021 Revision\ERGOM\Anthropometry Reference Data Base\"/>
    </mc:Choice>
  </mc:AlternateContent>
  <xr:revisionPtr revIDLastSave="0" documentId="8_{B36FB824-3966-4F4D-A75A-CC3DE3F1C116}" xr6:coauthVersionLast="46" xr6:coauthVersionMax="46" xr10:uidLastSave="{00000000-0000-0000-0000-000000000000}"/>
  <bookViews>
    <workbookView xWindow="26400" yWindow="300" windowWidth="24000" windowHeight="14850" xr2:uid="{00000000-000D-0000-FFFF-FFFF00000000}"/>
  </bookViews>
  <sheets>
    <sheet name="Anthropometry" sheetId="1" r:id="rId1"/>
    <sheet name="Tables" sheetId="2" r:id="rId2"/>
    <sheet name="Reference Points" sheetId="3" r:id="rId3"/>
  </sheets>
  <definedNames>
    <definedName name="_xlnm.Print_Area" localSheetId="1">Tables!$A$1:$I$58</definedName>
  </definedNames>
  <calcPr calcId="191029" calcMode="autoNoTable" iterate="1" iterateCount="5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5" i="1"/>
  <c r="A24" i="1"/>
  <c r="A25" i="1"/>
  <c r="A26" i="1"/>
  <c r="A27" i="1"/>
  <c r="A28" i="1"/>
  <c r="A29" i="1"/>
  <c r="A30" i="1"/>
  <c r="A31" i="1"/>
  <c r="J5" i="2"/>
  <c r="K5" i="2"/>
  <c r="R5" i="2" s="1"/>
  <c r="B9" i="1" s="1"/>
  <c r="L5" i="2"/>
  <c r="M18" i="2" s="1"/>
  <c r="M5" i="2"/>
  <c r="N5" i="2"/>
  <c r="O5" i="2"/>
  <c r="P5" i="2"/>
  <c r="P18" i="2" s="1"/>
  <c r="J6" i="2"/>
  <c r="L6" i="2" s="1"/>
  <c r="K6" i="2"/>
  <c r="J7" i="2"/>
  <c r="O7" i="2" s="1"/>
  <c r="K7" i="2"/>
  <c r="L20" i="2" s="1"/>
  <c r="L7" i="2"/>
  <c r="M7" i="2"/>
  <c r="N20" i="2" s="1"/>
  <c r="N7" i="2"/>
  <c r="R7" i="2"/>
  <c r="B11" i="1" s="1"/>
  <c r="J8" i="2"/>
  <c r="L8" i="2" s="1"/>
  <c r="K8" i="2"/>
  <c r="J9" i="2"/>
  <c r="M9" i="2" s="1"/>
  <c r="K9" i="2"/>
  <c r="L22" i="2" s="1"/>
  <c r="L9" i="2"/>
  <c r="J10" i="2"/>
  <c r="L10" i="2" s="1"/>
  <c r="J11" i="2"/>
  <c r="K11" i="2" s="1"/>
  <c r="N11" i="2"/>
  <c r="R24" i="2" s="1"/>
  <c r="O11" i="2"/>
  <c r="P11" i="2"/>
  <c r="Q24" i="2" s="1"/>
  <c r="R11" i="2"/>
  <c r="B15" i="1" s="1"/>
  <c r="J12" i="2"/>
  <c r="L12" i="2" s="1"/>
  <c r="J13" i="2"/>
  <c r="L13" i="2" s="1"/>
  <c r="K13" i="2"/>
  <c r="N26" i="2" s="1"/>
  <c r="M13" i="2"/>
  <c r="N13" i="2"/>
  <c r="Q26" i="2" s="1"/>
  <c r="O13" i="2"/>
  <c r="P13" i="2"/>
  <c r="J14" i="2"/>
  <c r="L14" i="2" s="1"/>
  <c r="K14" i="2"/>
  <c r="J15" i="2"/>
  <c r="O15" i="2" s="1"/>
  <c r="K15" i="2"/>
  <c r="N28" i="2" s="1"/>
  <c r="L15" i="2"/>
  <c r="M15" i="2"/>
  <c r="L28" i="2" s="1"/>
  <c r="N15" i="2"/>
  <c r="J18" i="2"/>
  <c r="N18" i="2"/>
  <c r="J20" i="2"/>
  <c r="K20" i="2"/>
  <c r="J24" i="2"/>
  <c r="J26" i="2"/>
  <c r="K26" i="2"/>
  <c r="L26" i="2"/>
  <c r="M26" i="2"/>
  <c r="J27" i="2"/>
  <c r="J28" i="2"/>
  <c r="M28" i="2"/>
  <c r="J31" i="2"/>
  <c r="J33" i="2"/>
  <c r="L33" i="2" s="1"/>
  <c r="K33" i="2"/>
  <c r="J37" i="2"/>
  <c r="K37" i="2" s="1"/>
  <c r="J39" i="2"/>
  <c r="M39" i="2" s="1"/>
  <c r="K39" i="2"/>
  <c r="L39" i="2"/>
  <c r="J40" i="2"/>
  <c r="L40" i="2" s="1"/>
  <c r="O43" i="2"/>
  <c r="C8" i="1" s="1"/>
  <c r="P43" i="2"/>
  <c r="D8" i="1" s="1"/>
  <c r="Q43" i="2"/>
  <c r="E8" i="1" s="1"/>
  <c r="R43" i="2"/>
  <c r="F8" i="1" s="1"/>
  <c r="M45" i="2"/>
  <c r="M46" i="2"/>
  <c r="M47" i="2"/>
  <c r="O47" i="2"/>
  <c r="N47" i="2" s="1"/>
  <c r="G11" i="1" s="1"/>
  <c r="P47" i="2"/>
  <c r="Q47" i="2"/>
  <c r="R47" i="2"/>
  <c r="M48" i="2"/>
  <c r="N48" i="2"/>
  <c r="G12" i="1" s="1"/>
  <c r="O48" i="2"/>
  <c r="P48" i="2"/>
  <c r="Q48" i="2"/>
  <c r="R48" i="2"/>
  <c r="M49" i="2"/>
  <c r="O49" i="2"/>
  <c r="N49" i="2" s="1"/>
  <c r="G13" i="1" s="1"/>
  <c r="P49" i="2"/>
  <c r="Q49" i="2"/>
  <c r="R49" i="2"/>
  <c r="M50" i="2"/>
  <c r="O50" i="2"/>
  <c r="N50" i="2" s="1"/>
  <c r="G14" i="1" s="1"/>
  <c r="P50" i="2"/>
  <c r="Q50" i="2"/>
  <c r="R50" i="2"/>
  <c r="M51" i="2"/>
  <c r="O51" i="2"/>
  <c r="N51" i="2" s="1"/>
  <c r="G15" i="1" s="1"/>
  <c r="P51" i="2"/>
  <c r="Q51" i="2"/>
  <c r="R51" i="2"/>
  <c r="M52" i="2"/>
  <c r="O52" i="2"/>
  <c r="N52" i="2" s="1"/>
  <c r="G16" i="1" s="1"/>
  <c r="P52" i="2"/>
  <c r="Q52" i="2"/>
  <c r="R52" i="2"/>
  <c r="M53" i="2"/>
  <c r="O53" i="2"/>
  <c r="N53" i="2" s="1"/>
  <c r="G17" i="1" s="1"/>
  <c r="P53" i="2"/>
  <c r="Q53" i="2"/>
  <c r="R53" i="2"/>
  <c r="M54" i="2"/>
  <c r="O54" i="2"/>
  <c r="N54" i="2" s="1"/>
  <c r="G18" i="1" s="1"/>
  <c r="P54" i="2"/>
  <c r="Q54" i="2"/>
  <c r="R54" i="2"/>
  <c r="M55" i="2"/>
  <c r="O55" i="2"/>
  <c r="N55" i="2" s="1"/>
  <c r="G19" i="1" s="1"/>
  <c r="P55" i="2"/>
  <c r="Q55" i="2"/>
  <c r="R55" i="2"/>
  <c r="O18" i="2" l="1"/>
  <c r="K28" i="2"/>
  <c r="J35" i="2"/>
  <c r="R26" i="2"/>
  <c r="L11" i="2"/>
  <c r="P7" i="2"/>
  <c r="O20" i="2" s="1"/>
  <c r="K22" i="2"/>
  <c r="J22" i="2"/>
  <c r="M11" i="2"/>
  <c r="L24" i="2" s="1"/>
  <c r="N33" i="2"/>
  <c r="M20" i="2"/>
  <c r="M33" i="2"/>
  <c r="R13" i="2"/>
  <c r="B17" i="1" s="1"/>
  <c r="M22" i="2"/>
  <c r="O26" i="2"/>
  <c r="K10" i="2"/>
  <c r="N22" i="2"/>
  <c r="J41" i="2"/>
  <c r="L18" i="2"/>
  <c r="P45" i="2" s="1"/>
  <c r="L31" i="2" s="1"/>
  <c r="R9" i="2"/>
  <c r="B13" i="1" s="1"/>
  <c r="K40" i="2"/>
  <c r="Q28" i="2"/>
  <c r="P9" i="2"/>
  <c r="P22" i="2" s="1"/>
  <c r="P28" i="2"/>
  <c r="R15" i="2"/>
  <c r="B19" i="1" s="1"/>
  <c r="O9" i="2"/>
  <c r="N39" i="2"/>
  <c r="P15" i="2"/>
  <c r="R28" i="2" s="1"/>
  <c r="N9" i="2"/>
  <c r="K12" i="2"/>
  <c r="K25" i="2" s="1"/>
  <c r="R18" i="2"/>
  <c r="R45" i="2" s="1"/>
  <c r="N31" i="2" s="1"/>
  <c r="J25" i="2"/>
  <c r="P26" i="2"/>
  <c r="J36" i="2"/>
  <c r="P24" i="2"/>
  <c r="M19" i="2"/>
  <c r="N35" i="2"/>
  <c r="O24" i="2"/>
  <c r="Q22" i="2"/>
  <c r="J21" i="2"/>
  <c r="K19" i="2"/>
  <c r="N41" i="2"/>
  <c r="L35" i="2"/>
  <c r="J19" i="2"/>
  <c r="M41" i="2"/>
  <c r="J32" i="2"/>
  <c r="J23" i="2"/>
  <c r="Q18" i="2"/>
  <c r="Q45" i="2" s="1"/>
  <c r="M31" i="2" s="1"/>
  <c r="R14" i="2"/>
  <c r="B18" i="1" s="1"/>
  <c r="R12" i="2"/>
  <c r="B16" i="1" s="1"/>
  <c r="R10" i="2"/>
  <c r="B14" i="1" s="1"/>
  <c r="R8" i="2"/>
  <c r="B12" i="1" s="1"/>
  <c r="K18" i="2"/>
  <c r="O45" i="2" s="1"/>
  <c r="J38" i="2"/>
  <c r="P14" i="2"/>
  <c r="P12" i="2"/>
  <c r="P10" i="2"/>
  <c r="P8" i="2"/>
  <c r="P6" i="2"/>
  <c r="N37" i="2"/>
  <c r="O14" i="2"/>
  <c r="O12" i="2"/>
  <c r="O10" i="2"/>
  <c r="O8" i="2"/>
  <c r="O6" i="2"/>
  <c r="N40" i="2"/>
  <c r="M37" i="2"/>
  <c r="N14" i="2"/>
  <c r="N12" i="2"/>
  <c r="N10" i="2"/>
  <c r="N8" i="2"/>
  <c r="N6" i="2"/>
  <c r="R6" i="2" s="1"/>
  <c r="B10" i="1" s="1"/>
  <c r="M40" i="2"/>
  <c r="L37" i="2"/>
  <c r="M14" i="2"/>
  <c r="M27" i="2" s="1"/>
  <c r="M12" i="2"/>
  <c r="L25" i="2" s="1"/>
  <c r="M10" i="2"/>
  <c r="M23" i="2" s="1"/>
  <c r="M8" i="2"/>
  <c r="N21" i="2" s="1"/>
  <c r="M6" i="2"/>
  <c r="L19" i="2" s="1"/>
  <c r="J34" i="2"/>
  <c r="N23" i="2" l="1"/>
  <c r="Q20" i="2"/>
  <c r="L41" i="2"/>
  <c r="K41" i="2"/>
  <c r="K35" i="2"/>
  <c r="M35" i="2"/>
  <c r="P20" i="2"/>
  <c r="O28" i="2"/>
  <c r="R22" i="2"/>
  <c r="N24" i="2"/>
  <c r="M24" i="2"/>
  <c r="K24" i="2"/>
  <c r="O22" i="2"/>
  <c r="R20" i="2"/>
  <c r="P46" i="2"/>
  <c r="L32" i="2" s="1"/>
  <c r="O46" i="2"/>
  <c r="K32" i="2" s="1"/>
  <c r="N19" i="2"/>
  <c r="K21" i="2"/>
  <c r="L21" i="2"/>
  <c r="K23" i="2"/>
  <c r="K38" i="2"/>
  <c r="L38" i="2"/>
  <c r="M38" i="2"/>
  <c r="N38" i="2"/>
  <c r="N36" i="2"/>
  <c r="K36" i="2"/>
  <c r="L36" i="2"/>
  <c r="M36" i="2"/>
  <c r="M21" i="2"/>
  <c r="K27" i="2"/>
  <c r="N45" i="2"/>
  <c r="G9" i="1" s="1"/>
  <c r="N25" i="2"/>
  <c r="N27" i="2"/>
  <c r="P19" i="2"/>
  <c r="Q19" i="2"/>
  <c r="Q46" i="2" s="1"/>
  <c r="M32" i="2" s="1"/>
  <c r="O19" i="2"/>
  <c r="R19" i="2"/>
  <c r="Q21" i="2"/>
  <c r="R21" i="2"/>
  <c r="P21" i="2"/>
  <c r="O21" i="2"/>
  <c r="M25" i="2"/>
  <c r="K34" i="2"/>
  <c r="L34" i="2"/>
  <c r="M34" i="2"/>
  <c r="N34" i="2"/>
  <c r="O23" i="2"/>
  <c r="P23" i="2"/>
  <c r="Q23" i="2"/>
  <c r="R23" i="2"/>
  <c r="K31" i="2"/>
  <c r="L27" i="2"/>
  <c r="O25" i="2"/>
  <c r="P25" i="2"/>
  <c r="Q25" i="2"/>
  <c r="R25" i="2"/>
  <c r="O27" i="2"/>
  <c r="P27" i="2"/>
  <c r="Q27" i="2"/>
  <c r="R27" i="2"/>
  <c r="L23" i="2"/>
  <c r="R46" i="2" l="1"/>
  <c r="N32" i="2" s="1"/>
  <c r="N46" i="2"/>
  <c r="G10" i="1" s="1"/>
  <c r="C21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 Four Horsemen</author>
  </authors>
  <commentList>
    <comment ref="A2" authorId="0" shapeId="0" xr:uid="{00000000-0006-0000-0000-000001000000}">
      <text>
        <r>
          <rPr>
            <b/>
            <sz val="9"/>
            <color indexed="81"/>
            <rFont val="Geneva"/>
          </rPr>
          <t>Enter descriptive information for analysis.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Geneva"/>
          </rPr>
          <t>Enter % of men in the design population.</t>
        </r>
      </text>
    </comment>
    <comment ref="F4" authorId="0" shapeId="0" xr:uid="{00000000-0006-0000-0000-000003000000}">
      <text>
        <r>
          <rPr>
            <b/>
            <sz val="9"/>
            <color indexed="81"/>
            <rFont val="Geneva"/>
          </rPr>
          <t>Enter the % of the population that may be in the excluded tail(s) of the distribution.</t>
        </r>
      </text>
    </comment>
    <comment ref="C6" authorId="0" shapeId="0" xr:uid="{00000000-0006-0000-0000-000004000000}">
      <text>
        <r>
          <rPr>
            <b/>
            <sz val="9"/>
            <color indexed="81"/>
            <rFont val="Geneva"/>
          </rPr>
          <t>Exclusions grouped at one end or the other</t>
        </r>
      </text>
    </comment>
    <comment ref="E6" authorId="0" shapeId="0" xr:uid="{00000000-0006-0000-0000-000005000000}">
      <text>
        <r>
          <rPr>
            <b/>
            <sz val="9"/>
            <color indexed="81"/>
            <rFont val="Geneva"/>
          </rPr>
          <t>Exclusions divided evenly at the low and high ends of the range</t>
        </r>
      </text>
    </comment>
    <comment ref="A8" authorId="0" shapeId="0" xr:uid="{00000000-0006-0000-0000-000006000000}">
      <text>
        <r>
          <rPr>
            <b/>
            <sz val="9"/>
            <color indexed="81"/>
            <rFont val="Geneva"/>
          </rPr>
          <t>Use Pick Lists for dimensions of interest for analysis.
Pick "None" in extra lines.
Select Units.
Press "Find Values" button when selection is finished.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Door Mouse</author>
  </authors>
  <commentList>
    <comment ref="C1" authorId="0" shapeId="0" xr:uid="{00000000-0006-0000-0100-000001000000}">
      <text>
        <r>
          <rPr>
            <b/>
            <sz val="9"/>
            <color indexed="81"/>
            <rFont val="Geneva"/>
          </rPr>
          <t>If US Trad units are used in table, the unit labels to the right must be reversed, and the multipliers inverted.</t>
        </r>
      </text>
    </comment>
    <comment ref="I2" authorId="0" shapeId="0" xr:uid="{00000000-0006-0000-0100-000002000000}">
      <text>
        <r>
          <rPr>
            <b/>
            <sz val="9"/>
            <color indexed="81"/>
            <rFont val="Geneva"/>
          </rPr>
          <t>Enter multipliers to convert from SI to US Trad units for the dimension.</t>
        </r>
      </text>
    </comment>
    <comment ref="I3" authorId="0" shapeId="0" xr:uid="{00000000-0006-0000-0100-000003000000}">
      <text>
        <r>
          <rPr>
            <b/>
            <sz val="9"/>
            <color indexed="81"/>
            <rFont val="Geneva"/>
          </rPr>
          <t>SI units</t>
        </r>
      </text>
    </comment>
    <comment ref="B4" authorId="0" shapeId="0" xr:uid="{00000000-0006-0000-0100-000004000000}">
      <text>
        <r>
          <rPr>
            <b/>
            <sz val="9"/>
            <color indexed="81"/>
            <rFont val="Geneva"/>
          </rPr>
          <t>Edit table to include dimensions and values of interest.
+sd and -sd are the approximate std dev of the distribution on either side of the mean.  It helps account for skewed distributions.</t>
        </r>
      </text>
    </comment>
    <comment ref="I4" authorId="0" shapeId="0" xr:uid="{00000000-0006-0000-0100-000005000000}">
      <text>
        <r>
          <rPr>
            <b/>
            <sz val="9"/>
            <color indexed="81"/>
            <rFont val="Geneva"/>
          </rPr>
          <t>US Traditional Units</t>
        </r>
      </text>
    </comment>
  </commentList>
</comments>
</file>

<file path=xl/sharedStrings.xml><?xml version="1.0" encoding="utf-8"?>
<sst xmlns="http://schemas.openxmlformats.org/spreadsheetml/2006/main" count="112" uniqueCount="94">
  <si>
    <t>Adult Population Mix (%)</t>
  </si>
  <si>
    <t>Men</t>
  </si>
  <si>
    <t>Women</t>
  </si>
  <si>
    <t>Minimum</t>
  </si>
  <si>
    <t>Maximum</t>
  </si>
  <si>
    <t>Low</t>
  </si>
  <si>
    <t>High</t>
  </si>
  <si>
    <t>Design</t>
  </si>
  <si>
    <t>Exclusion (%)</t>
  </si>
  <si>
    <t>Tables</t>
  </si>
  <si>
    <t>Mean</t>
  </si>
  <si>
    <t>+sd</t>
  </si>
  <si>
    <t>-sd</t>
  </si>
  <si>
    <t>Target Percentile</t>
  </si>
  <si>
    <t>Index</t>
  </si>
  <si>
    <t>Actual Percentiles</t>
  </si>
  <si>
    <t>Goal Seek Difference</t>
  </si>
  <si>
    <t>Anthropometric Measures -- Adult Population</t>
  </si>
  <si>
    <t>None</t>
  </si>
  <si>
    <t>Select Dimensions of Interest</t>
  </si>
  <si>
    <t>Thomas E. Bernard</t>
  </si>
  <si>
    <t>University of South Florida</t>
  </si>
  <si>
    <t>College of Public Health</t>
  </si>
  <si>
    <t>Tampa FL 33612-3805</t>
  </si>
  <si>
    <t>tbernard@hsc.usf.edu // (813) 974-6629</t>
  </si>
  <si>
    <t>No Warranty -- Explicit or Implicit</t>
  </si>
  <si>
    <t>cm, kg</t>
  </si>
  <si>
    <t>in, lb</t>
  </si>
  <si>
    <t>Limits (%ile)</t>
  </si>
  <si>
    <t>Range (%ile)</t>
  </si>
  <si>
    <t>Conversions</t>
  </si>
  <si>
    <t>Data for selected dimensions in selected units</t>
  </si>
  <si>
    <t>+/- standard deviations in selected units for min, max, low, high</t>
  </si>
  <si>
    <r>
      <t xml:space="preserve">Data from </t>
    </r>
    <r>
      <rPr>
        <i/>
        <sz val="10"/>
        <rFont val="Arial"/>
      </rPr>
      <t>Ergonomic Design for People at Work, Vol 1</t>
    </r>
  </si>
  <si>
    <t>Table VIA-2, pp 290-293</t>
  </si>
  <si>
    <r>
      <t xml:space="preserve">Information from </t>
    </r>
    <r>
      <rPr>
        <i/>
        <sz val="10"/>
        <rFont val="Arial"/>
      </rPr>
      <t>Ergonomic Design for People at Work, Vol 1</t>
    </r>
  </si>
  <si>
    <t>pp 299-310</t>
  </si>
  <si>
    <t>Stature {9}</t>
  </si>
  <si>
    <t>Weight {43}</t>
  </si>
  <si>
    <t>Abdominal Extension Depth {2}</t>
  </si>
  <si>
    <t>Tibial Height {4}</t>
  </si>
  <si>
    <t>Elbow-to-Fist Length {22}</t>
  </si>
  <si>
    <t>Upper-Arm Length {23}</t>
  </si>
  <si>
    <t>Shoulder Breadth {24}</t>
  </si>
  <si>
    <t>Hip Breadth {25}</t>
  </si>
  <si>
    <t>Foot Length {26}</t>
  </si>
  <si>
    <t>Foot Breadth {27}</t>
  </si>
  <si>
    <t>Hand Thickness, Metacarpal III {28}</t>
  </si>
  <si>
    <t>Hand Length {29}</t>
  </si>
  <si>
    <t>Digit Two Length {30}</t>
  </si>
  <si>
    <t>Hand Breadth {31}</t>
  </si>
  <si>
    <t>Digit One Length {32}</t>
  </si>
  <si>
    <t>Breadth of Digit One Interphalangeal Joint {33}</t>
  </si>
  <si>
    <t>Breadth of Digit Three Interphalangeal Joint {34}</t>
  </si>
  <si>
    <t>Grip Breath, Inside Diameter {35}</t>
  </si>
  <si>
    <t>Hand Spread, D1 to D2, 1st Phal. Joint {36}</t>
  </si>
  <si>
    <t>Hand Spread, D1 to D2, 2nd Phal. Joint {37}</t>
  </si>
  <si>
    <t>Head Breadth {38}</t>
  </si>
  <si>
    <t>Interpupillary Breadth {39}</t>
  </si>
  <si>
    <t>Biocular Breadth {40}</t>
  </si>
  <si>
    <t>Blank</t>
  </si>
  <si>
    <t>Frwd Func Reach - acromial process to pinch {1b}</t>
  </si>
  <si>
    <t>Forward Functional Reach - Inc body depth {1a}</t>
  </si>
  <si>
    <t>Frwd Func Reach - abdomen to pinch {1c}</t>
  </si>
  <si>
    <t>Shoulder Height - Stand {7}</t>
  </si>
  <si>
    <t>Elbow Height - Stand {6}</t>
  </si>
  <si>
    <t>Knuckle Height - Stand {5}</t>
  </si>
  <si>
    <t>Waist Height - Stand {3}</t>
  </si>
  <si>
    <t>Eye Height - Stand {8}</t>
  </si>
  <si>
    <t>Functional Overhead Reach - Stand {10}</t>
  </si>
  <si>
    <t>Thigh Clearance Height - Sit {11}</t>
  </si>
  <si>
    <t>Elbow Rest Height - Sit {12}</t>
  </si>
  <si>
    <t>Midshoulder Height - Sit {13}</t>
  </si>
  <si>
    <t>Eye Height - Sit {14}</t>
  </si>
  <si>
    <t>Sitting Height - Normal {15}</t>
  </si>
  <si>
    <t>Functional Overhead Reach - Sit {16}</t>
  </si>
  <si>
    <t>Knee Height - Sit {17}</t>
  </si>
  <si>
    <t>Popliteal Height - Sit {18}</t>
  </si>
  <si>
    <t>Leg Length - Sit {19}</t>
  </si>
  <si>
    <t>Upper-Leg Length - Sit {20}</t>
  </si>
  <si>
    <t>Buttocks-to-Popliteal Length - Sit {21}</t>
  </si>
  <si>
    <t>Job / Task Information  --  Enter Useful Information in This Box  -- See also comments in cells by placing curser over cells marked by red triangle in upper right corner.</t>
  </si>
  <si>
    <t>50%ile</t>
  </si>
  <si>
    <t>Weighted</t>
  </si>
  <si>
    <t>Units:</t>
  </si>
  <si>
    <t>x</t>
  </si>
  <si>
    <t>Location References</t>
  </si>
  <si>
    <t>For updates, see Stone Wheels at www.hsc.usf.edu/~tbernard</t>
  </si>
  <si>
    <t>Test</t>
  </si>
  <si>
    <t>If units are changed, push Find Values again.</t>
  </si>
  <si>
    <t>v1.3 10/7/00 © 2000 Thomas E. Bernard</t>
  </si>
  <si>
    <t>Data Table in SI units</t>
  </si>
  <si>
    <t>to US Trad</t>
  </si>
  <si>
    <t>The table section in Yellow may be edited.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</si>
</sst>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"/>
    </font>
    <font>
      <i/>
      <sz val="10"/>
      <name val="Arial"/>
    </font>
    <font>
      <b/>
      <sz val="12"/>
      <name val="Arial"/>
    </font>
    <font>
      <sz val="10"/>
      <color indexed="10"/>
      <name val="Arial"/>
    </font>
    <font>
      <b/>
      <sz val="9"/>
      <color indexed="81"/>
      <name val="Geneva"/>
    </font>
    <font>
      <sz val="9"/>
      <name val="Arial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0" fillId="0" borderId="0" xfId="0" applyFill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1" fontId="0" fillId="0" borderId="0" xfId="0" applyNumberFormat="1" applyProtection="1">
      <protection locked="0"/>
    </xf>
    <xf numFmtId="0" fontId="0" fillId="0" borderId="0" xfId="0" applyProtection="1"/>
    <xf numFmtId="0" fontId="2" fillId="0" borderId="0" xfId="0" applyFont="1" applyProtection="1"/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0" xfId="0" quotePrefix="1" applyNumberFormat="1" applyAlignment="1" applyProtection="1">
      <alignment horizontal="center"/>
    </xf>
    <xf numFmtId="164" fontId="0" fillId="0" borderId="0" xfId="0" quotePrefix="1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4" fontId="0" fillId="0" borderId="0" xfId="0" applyNumberFormat="1" applyBorder="1" applyAlignment="1" applyProtection="1">
      <alignment horizontal="center"/>
    </xf>
    <xf numFmtId="164" fontId="0" fillId="0" borderId="0" xfId="0" quotePrefix="1" applyNumberFormat="1" applyBorder="1" applyAlignment="1" applyProtection="1">
      <alignment horizontal="center"/>
    </xf>
    <xf numFmtId="164" fontId="0" fillId="0" borderId="2" xfId="0" quotePrefix="1" applyNumberFormat="1" applyBorder="1" applyAlignment="1" applyProtection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 applyProtection="1">
      <alignment horizontal="left"/>
    </xf>
    <xf numFmtId="164" fontId="0" fillId="0" borderId="5" xfId="0" applyNumberFormat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2" borderId="0" xfId="0" applyFill="1" applyProtection="1"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0" dropStyle="combo" dx="22" fmlaLink="Anthropometry!$A$9" fmlaRange="Tables!$B$5:$B$49" sel="2" val="0"/>
</file>

<file path=xl/ctrlProps/ctrlProp10.xml><?xml version="1.0" encoding="utf-8"?>
<formControlPr xmlns="http://schemas.microsoft.com/office/spreadsheetml/2009/9/main" objectType="Drop" dropLines="10" dropStyle="combo" dx="22" fmlaLink="Anthropometry!$A$18" fmlaRange="Tables!$B$5:$B$49" sel="1" val="0"/>
</file>

<file path=xl/ctrlProps/ctrlProp11.xml><?xml version="1.0" encoding="utf-8"?>
<formControlPr xmlns="http://schemas.microsoft.com/office/spreadsheetml/2009/9/main" objectType="Drop" dropLines="10" dropStyle="combo" dx="22" fmlaLink="Anthropometry!$A$19" fmlaRange="Tables!$B$5:$B$49" sel="1" val="0"/>
</file>

<file path=xl/ctrlProps/ctrlProp12.xml><?xml version="1.0" encoding="utf-8"?>
<formControlPr xmlns="http://schemas.microsoft.com/office/spreadsheetml/2009/9/main" objectType="Drop" dropLines="59" dropStyle="combo" dx="22" fmlaLink="Anthropometry!$A$5" fmlaRange="Tables!$I$3:$I$4" sel="2" val="0"/>
</file>

<file path=xl/ctrlProps/ctrlProp13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Lines="10" dropStyle="combo" dx="22" fmlaLink="Anthropometry!$A$11" fmlaRange="Tables!$B$5:$B$49" sel="1" val="0"/>
</file>

<file path=xl/ctrlProps/ctrlProp3.xml><?xml version="1.0" encoding="utf-8"?>
<formControlPr xmlns="http://schemas.microsoft.com/office/spreadsheetml/2009/9/main" objectType="Drop" dropLines="10" dropStyle="combo" dx="22" fmlaLink="Anthropometry!$A$10" fmlaRange="Tables!$B$5:$B$49" sel="3" val="0"/>
</file>

<file path=xl/ctrlProps/ctrlProp4.xml><?xml version="1.0" encoding="utf-8"?>
<formControlPr xmlns="http://schemas.microsoft.com/office/spreadsheetml/2009/9/main" objectType="Drop" dropLines="10" dropStyle="combo" dx="22" fmlaLink="Anthropometry!$A$13" fmlaRange="Tables!$B$5:$B$49" sel="1" val="0"/>
</file>

<file path=xl/ctrlProps/ctrlProp5.xml><?xml version="1.0" encoding="utf-8"?>
<formControlPr xmlns="http://schemas.microsoft.com/office/spreadsheetml/2009/9/main" objectType="Drop" dropLines="10" dropStyle="combo" dx="22" fmlaLink="Anthropometry!$A$12" fmlaRange="Tables!$B$5:$B$49" sel="1" val="0"/>
</file>

<file path=xl/ctrlProps/ctrlProp6.xml><?xml version="1.0" encoding="utf-8"?>
<formControlPr xmlns="http://schemas.microsoft.com/office/spreadsheetml/2009/9/main" objectType="Drop" dropLines="10" dropStyle="combo" dx="22" fmlaLink="Anthropometry!A14" fmlaRange="Tables!$B$5:$B$49" sel="1" val="0"/>
</file>

<file path=xl/ctrlProps/ctrlProp7.xml><?xml version="1.0" encoding="utf-8"?>
<formControlPr xmlns="http://schemas.microsoft.com/office/spreadsheetml/2009/9/main" objectType="Drop" dropLines="10" dropStyle="combo" dx="22" fmlaLink="Anthropometry!$A$15" fmlaRange="Tables!$B$5:$B$49" sel="1" val="0"/>
</file>

<file path=xl/ctrlProps/ctrlProp8.xml><?xml version="1.0" encoding="utf-8"?>
<formControlPr xmlns="http://schemas.microsoft.com/office/spreadsheetml/2009/9/main" objectType="Drop" dropLines="10" dropStyle="combo" dx="22" fmlaLink="Anthropometry!$A$16" fmlaRange="Tables!$B$5:$B$49" sel="1" val="0"/>
</file>

<file path=xl/ctrlProps/ctrlProp9.xml><?xml version="1.0" encoding="utf-8"?>
<formControlPr xmlns="http://schemas.microsoft.com/office/spreadsheetml/2009/9/main" objectType="Drop" dropLines="10" dropStyle="combo" dx="22" fmlaLink="Anthropometry!$A$17" fmlaRange="Tables!$B$5:$B$49" sel="1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0</xdr:col>
          <xdr:colOff>3200400</xdr:colOff>
          <xdr:row>9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0</xdr:col>
          <xdr:colOff>3200400</xdr:colOff>
          <xdr:row>11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9525</xdr:rowOff>
        </xdr:from>
        <xdr:to>
          <xdr:col>0</xdr:col>
          <xdr:colOff>3200400</xdr:colOff>
          <xdr:row>10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0</xdr:col>
          <xdr:colOff>3200400</xdr:colOff>
          <xdr:row>13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0</xdr:col>
          <xdr:colOff>3200400</xdr:colOff>
          <xdr:row>12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0</xdr:col>
          <xdr:colOff>3200400</xdr:colOff>
          <xdr:row>14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0</xdr:col>
          <xdr:colOff>3200400</xdr:colOff>
          <xdr:row>15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9525</xdr:rowOff>
        </xdr:from>
        <xdr:to>
          <xdr:col>0</xdr:col>
          <xdr:colOff>3200400</xdr:colOff>
          <xdr:row>16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0</xdr:col>
          <xdr:colOff>3200400</xdr:colOff>
          <xdr:row>17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9525</xdr:rowOff>
        </xdr:from>
        <xdr:to>
          <xdr:col>0</xdr:col>
          <xdr:colOff>3200400</xdr:colOff>
          <xdr:row>18</xdr:row>
          <xdr:rowOff>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9525</xdr:rowOff>
        </xdr:from>
        <xdr:to>
          <xdr:col>0</xdr:col>
          <xdr:colOff>3200400</xdr:colOff>
          <xdr:row>19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9525</xdr:rowOff>
        </xdr:from>
        <xdr:to>
          <xdr:col>0</xdr:col>
          <xdr:colOff>809625</xdr:colOff>
          <xdr:row>4</xdr:row>
          <xdr:rowOff>247650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1981200</xdr:colOff>
          <xdr:row>4</xdr:row>
          <xdr:rowOff>28575</xdr:rowOff>
        </xdr:from>
        <xdr:to>
          <xdr:col>1</xdr:col>
          <xdr:colOff>0</xdr:colOff>
          <xdr:row>4</xdr:row>
          <xdr:rowOff>257175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Find Values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5</xdr:col>
      <xdr:colOff>438150</xdr:colOff>
      <xdr:row>40</xdr:row>
      <xdr:rowOff>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6EFDA6FE-94C8-4E5D-BC93-3B7E59350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4248150" cy="582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4</xdr:row>
      <xdr:rowOff>0</xdr:rowOff>
    </xdr:from>
    <xdr:to>
      <xdr:col>11</xdr:col>
      <xdr:colOff>95250</xdr:colOff>
      <xdr:row>39</xdr:row>
      <xdr:rowOff>152400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305D8388-961B-4283-8C65-09A0F01BD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685800"/>
          <a:ext cx="4229100" cy="581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42"/>
  <sheetViews>
    <sheetView showGridLines="0" showRowColHeaders="0" tabSelected="1" showOutlineSymbols="0" workbookViewId="0"/>
  </sheetViews>
  <sheetFormatPr defaultColWidth="11.42578125" defaultRowHeight="12.75"/>
  <cols>
    <col min="1" max="1" width="48.140625" customWidth="1"/>
    <col min="2" max="2" width="11.42578125" customWidth="1"/>
    <col min="3" max="6" width="12.85546875" style="2" customWidth="1"/>
    <col min="7" max="7" width="3" customWidth="1"/>
  </cols>
  <sheetData>
    <row r="1" spans="1:7" ht="20.100000000000001" customHeight="1">
      <c r="A1" s="1" t="s">
        <v>17</v>
      </c>
      <c r="B1" s="1"/>
    </row>
    <row r="2" spans="1:7">
      <c r="A2" s="46" t="s">
        <v>81</v>
      </c>
      <c r="B2" s="22"/>
      <c r="C2" s="51" t="s">
        <v>0</v>
      </c>
      <c r="D2" s="51"/>
      <c r="F2" s="2" t="s">
        <v>7</v>
      </c>
    </row>
    <row r="3" spans="1:7">
      <c r="A3" s="47"/>
      <c r="B3" s="21"/>
      <c r="C3" s="2" t="s">
        <v>1</v>
      </c>
      <c r="D3" s="2" t="s">
        <v>2</v>
      </c>
      <c r="F3" s="2" t="s">
        <v>8</v>
      </c>
    </row>
    <row r="4" spans="1:7">
      <c r="A4" s="48"/>
      <c r="B4" s="21"/>
      <c r="C4" s="3">
        <v>50</v>
      </c>
      <c r="D4" s="5">
        <f>100-C4</f>
        <v>50</v>
      </c>
      <c r="F4" s="3">
        <v>5</v>
      </c>
    </row>
    <row r="5" spans="1:7" ht="21" customHeight="1">
      <c r="A5" s="29">
        <v>2</v>
      </c>
      <c r="B5" s="10"/>
      <c r="C5" s="4"/>
      <c r="D5" s="7" t="s">
        <v>84</v>
      </c>
      <c r="E5" s="30" t="str">
        <f>INDEX(Tables!I3:I4,A5,1)</f>
        <v>in, lb</v>
      </c>
    </row>
    <row r="6" spans="1:7">
      <c r="A6" s="31" t="s">
        <v>89</v>
      </c>
      <c r="B6" s="2"/>
      <c r="C6" s="49" t="s">
        <v>28</v>
      </c>
      <c r="D6" s="50"/>
      <c r="E6" s="49" t="s">
        <v>29</v>
      </c>
      <c r="F6" s="50"/>
    </row>
    <row r="7" spans="1:7">
      <c r="B7" s="25" t="s">
        <v>10</v>
      </c>
      <c r="C7" s="2" t="s">
        <v>3</v>
      </c>
      <c r="D7" s="8" t="s">
        <v>4</v>
      </c>
      <c r="E7" s="27" t="s">
        <v>5</v>
      </c>
      <c r="F7" s="8" t="s">
        <v>6</v>
      </c>
    </row>
    <row r="8" spans="1:7">
      <c r="A8" t="s">
        <v>19</v>
      </c>
      <c r="B8" s="26" t="s">
        <v>82</v>
      </c>
      <c r="C8" s="23">
        <f>Tables!O43</f>
        <v>5</v>
      </c>
      <c r="D8" s="24">
        <f>Tables!P43</f>
        <v>95</v>
      </c>
      <c r="E8" s="28">
        <f>Tables!Q43</f>
        <v>2.5</v>
      </c>
      <c r="F8" s="24">
        <f>Tables!R43</f>
        <v>97.5</v>
      </c>
    </row>
    <row r="9" spans="1:7" ht="20.100000000000001" customHeight="1">
      <c r="A9" s="9">
        <v>2</v>
      </c>
      <c r="B9" s="33">
        <f>Tables!R5</f>
        <v>66.310200000000009</v>
      </c>
      <c r="C9" s="34">
        <v>60.822499856340649</v>
      </c>
      <c r="D9" s="39">
        <v>72.088743850576861</v>
      </c>
      <c r="E9" s="34">
        <v>59.970650684298121</v>
      </c>
      <c r="F9" s="39">
        <v>73.027994576006336</v>
      </c>
      <c r="G9" s="42" t="str">
        <f>Tables!N45</f>
        <v/>
      </c>
    </row>
    <row r="10" spans="1:7" ht="20.100000000000001" customHeight="1">
      <c r="A10" s="9">
        <v>3</v>
      </c>
      <c r="B10" s="35">
        <f>Tables!R6</f>
        <v>164.56000000000003</v>
      </c>
      <c r="C10" s="36">
        <v>105.17809530208504</v>
      </c>
      <c r="D10" s="40">
        <v>226.42371504032789</v>
      </c>
      <c r="E10" s="36">
        <v>94.623010983560192</v>
      </c>
      <c r="F10" s="40">
        <v>238.08313386557583</v>
      </c>
      <c r="G10" s="42" t="str">
        <f>Tables!N46</f>
        <v/>
      </c>
    </row>
    <row r="11" spans="1:7" ht="20.100000000000001" customHeight="1">
      <c r="A11" s="9">
        <v>1</v>
      </c>
      <c r="B11" s="35" t="str">
        <f>Tables!R7</f>
        <v/>
      </c>
      <c r="C11" s="36"/>
      <c r="D11" s="40"/>
      <c r="E11" s="36"/>
      <c r="F11" s="40"/>
      <c r="G11" s="42" t="str">
        <f>Tables!N47</f>
        <v/>
      </c>
    </row>
    <row r="12" spans="1:7" ht="20.100000000000001" customHeight="1">
      <c r="A12" s="9">
        <v>1</v>
      </c>
      <c r="B12" s="37" t="str">
        <f>Tables!R8</f>
        <v/>
      </c>
      <c r="C12" s="38"/>
      <c r="D12" s="41"/>
      <c r="E12" s="38"/>
      <c r="F12" s="41"/>
      <c r="G12" s="42" t="str">
        <f>Tables!N48</f>
        <v/>
      </c>
    </row>
    <row r="13" spans="1:7" ht="20.100000000000001" customHeight="1">
      <c r="A13" s="9">
        <v>1</v>
      </c>
      <c r="B13" s="33" t="str">
        <f>Tables!R9</f>
        <v/>
      </c>
      <c r="C13" s="34"/>
      <c r="D13" s="39"/>
      <c r="E13" s="34"/>
      <c r="F13" s="39"/>
      <c r="G13" s="42" t="str">
        <f>Tables!N49</f>
        <v/>
      </c>
    </row>
    <row r="14" spans="1:7" ht="20.100000000000001" customHeight="1">
      <c r="A14" s="9">
        <v>1</v>
      </c>
      <c r="B14" s="35" t="str">
        <f>Tables!R10</f>
        <v/>
      </c>
      <c r="C14" s="36"/>
      <c r="D14" s="40"/>
      <c r="E14" s="36"/>
      <c r="F14" s="40"/>
      <c r="G14" s="42" t="str">
        <f>Tables!N50</f>
        <v/>
      </c>
    </row>
    <row r="15" spans="1:7" ht="20.100000000000001" customHeight="1">
      <c r="A15" s="9">
        <v>1</v>
      </c>
      <c r="B15" s="37" t="str">
        <f>Tables!R11</f>
        <v/>
      </c>
      <c r="C15" s="38"/>
      <c r="D15" s="41"/>
      <c r="E15" s="38"/>
      <c r="F15" s="41"/>
      <c r="G15" s="42" t="str">
        <f>Tables!N51</f>
        <v/>
      </c>
    </row>
    <row r="16" spans="1:7" ht="20.100000000000001" customHeight="1">
      <c r="A16" s="9">
        <v>1</v>
      </c>
      <c r="B16" s="35" t="str">
        <f>Tables!R12</f>
        <v/>
      </c>
      <c r="C16" s="36"/>
      <c r="D16" s="40"/>
      <c r="E16" s="36"/>
      <c r="F16" s="40"/>
      <c r="G16" s="42" t="str">
        <f>Tables!N52</f>
        <v/>
      </c>
    </row>
    <row r="17" spans="1:7" ht="20.100000000000001" customHeight="1">
      <c r="A17" s="9">
        <v>1</v>
      </c>
      <c r="B17" s="35" t="str">
        <f>Tables!R13</f>
        <v/>
      </c>
      <c r="C17" s="36"/>
      <c r="D17" s="40"/>
      <c r="E17" s="36"/>
      <c r="F17" s="40"/>
      <c r="G17" s="42" t="str">
        <f>Tables!N53</f>
        <v/>
      </c>
    </row>
    <row r="18" spans="1:7" ht="20.100000000000001" customHeight="1">
      <c r="A18" s="9">
        <v>1</v>
      </c>
      <c r="B18" s="35" t="str">
        <f>Tables!R14</f>
        <v/>
      </c>
      <c r="C18" s="36"/>
      <c r="D18" s="40"/>
      <c r="E18" s="36"/>
      <c r="F18" s="40"/>
      <c r="G18" s="42" t="str">
        <f>Tables!N54</f>
        <v/>
      </c>
    </row>
    <row r="19" spans="1:7" ht="20.100000000000001" customHeight="1">
      <c r="A19" s="9">
        <v>1</v>
      </c>
      <c r="B19" s="37" t="str">
        <f>Tables!R15</f>
        <v/>
      </c>
      <c r="C19" s="38"/>
      <c r="D19" s="41"/>
      <c r="E19" s="38"/>
      <c r="F19" s="41"/>
      <c r="G19" s="42" t="str">
        <f>Tables!N55</f>
        <v/>
      </c>
    </row>
    <row r="20" spans="1:7">
      <c r="B20" s="32"/>
    </row>
    <row r="21" spans="1:7">
      <c r="C21" s="4" t="str">
        <f>IF(OR(G9="*",G10="*",G11="*",G12="*",G13="*",G14="*",G15="*",G16="*",G17="*",G18="*",G19="*"),"*  Press Find Values","")</f>
        <v/>
      </c>
    </row>
    <row r="22" spans="1:7">
      <c r="C22" s="4" t="str">
        <f>IF(C21="","","If * at end of row remains, there is a computation error.")</f>
        <v/>
      </c>
    </row>
    <row r="24" spans="1:7">
      <c r="A24" t="str">
        <f>Tables!B51</f>
        <v>Thomas E. Bernard</v>
      </c>
    </row>
    <row r="25" spans="1:7">
      <c r="A25" t="str">
        <f>Tables!B52</f>
        <v>University of South Florida</v>
      </c>
    </row>
    <row r="26" spans="1:7">
      <c r="A26" t="str">
        <f>Tables!B53</f>
        <v>College of Public Health</v>
      </c>
    </row>
    <row r="27" spans="1:7">
      <c r="A27" t="str">
        <f>Tables!B54</f>
        <v>Tampa FL 33612-3805</v>
      </c>
    </row>
    <row r="28" spans="1:7">
      <c r="A28" t="str">
        <f>Tables!B55</f>
        <v>tbernard@hsc.usf.edu // (813) 974-6629</v>
      </c>
    </row>
    <row r="29" spans="1:7">
      <c r="A29" t="str">
        <f>Tables!B56</f>
        <v>v1.3 10/7/00 © 2000 Thomas E. Bernard</v>
      </c>
    </row>
    <row r="30" spans="1:7">
      <c r="A30" t="str">
        <f>Tables!B57</f>
        <v>For updates, see Stone Wheels at www.hsc.usf.edu/~tbernard</v>
      </c>
    </row>
    <row r="31" spans="1:7">
      <c r="A31" t="str">
        <f>Tables!B58</f>
        <v>No Warranty -- Explicit or Implicit</v>
      </c>
    </row>
    <row r="42" spans="7:7">
      <c r="G42" t="s">
        <v>85</v>
      </c>
    </row>
  </sheetData>
  <sheetProtection sheet="1" objects="1" scenarios="1"/>
  <mergeCells count="4">
    <mergeCell ref="A2:A4"/>
    <mergeCell ref="E6:F6"/>
    <mergeCell ref="C2:D2"/>
    <mergeCell ref="C6:D6"/>
  </mergeCells>
  <phoneticPr fontId="0" type="noConversion"/>
  <printOptions horizontalCentered="1"/>
  <pageMargins left="0.75" right="0.75" top="1" bottom="1" header="0.5" footer="0.5"/>
  <pageSetup scale="73" orientation="portrait" horizontalDpi="4294967292" vertic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0</xdr:col>
                    <xdr:colOff>3200400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0</xdr:col>
                    <xdr:colOff>0</xdr:colOff>
                    <xdr:row>10</xdr:row>
                    <xdr:rowOff>9525</xdr:rowOff>
                  </from>
                  <to>
                    <xdr:col>0</xdr:col>
                    <xdr:colOff>3200400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0</xdr:col>
                    <xdr:colOff>0</xdr:colOff>
                    <xdr:row>9</xdr:row>
                    <xdr:rowOff>9525</xdr:rowOff>
                  </from>
                  <to>
                    <xdr:col>0</xdr:col>
                    <xdr:colOff>3200400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0</xdr:col>
                    <xdr:colOff>3200400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Drop Down 6">
              <controlPr defaultSize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0</xdr:col>
                    <xdr:colOff>3200400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defaultSize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0</xdr:col>
                    <xdr:colOff>3200400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Drop Down 8">
              <controlPr defaultSize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0</xdr:col>
                    <xdr:colOff>3200400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Drop Down 9">
              <controlPr defaultSize="0" autoLine="0" autoPict="0">
                <anchor moveWithCells="1">
                  <from>
                    <xdr:col>0</xdr:col>
                    <xdr:colOff>0</xdr:colOff>
                    <xdr:row>15</xdr:row>
                    <xdr:rowOff>9525</xdr:rowOff>
                  </from>
                  <to>
                    <xdr:col>0</xdr:col>
                    <xdr:colOff>3200400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Drop Down 10">
              <controlPr defaultSize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0</xdr:col>
                    <xdr:colOff>3200400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Drop Down 11">
              <controlPr defaultSize="0" autoLine="0" autoPict="0">
                <anchor moveWithCells="1">
                  <from>
                    <xdr:col>0</xdr:col>
                    <xdr:colOff>0</xdr:colOff>
                    <xdr:row>17</xdr:row>
                    <xdr:rowOff>9525</xdr:rowOff>
                  </from>
                  <to>
                    <xdr:col>0</xdr:col>
                    <xdr:colOff>3200400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Drop Down 12">
              <controlPr defaultSize="0" autoLine="0" autoPict="0">
                <anchor moveWithCells="1">
                  <from>
                    <xdr:col>0</xdr:col>
                    <xdr:colOff>0</xdr:colOff>
                    <xdr:row>18</xdr:row>
                    <xdr:rowOff>9525</xdr:rowOff>
                  </from>
                  <to>
                    <xdr:col>0</xdr:col>
                    <xdr:colOff>3200400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Drop Down 19">
              <controlPr defaultSize="0" autoLine="0" autoPict="0">
                <anchor moveWithCells="1">
                  <from>
                    <xdr:col>0</xdr:col>
                    <xdr:colOff>0</xdr:colOff>
                    <xdr:row>4</xdr:row>
                    <xdr:rowOff>9525</xdr:rowOff>
                  </from>
                  <to>
                    <xdr:col>0</xdr:col>
                    <xdr:colOff>809625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Button 21">
              <controlPr defaultSize="0" autoFill="0" autoPict="0" macro="[0]!DetermineValues">
                <anchor moveWithCells="1" sizeWithCells="1">
                  <from>
                    <xdr:col>0</xdr:col>
                    <xdr:colOff>1981200</xdr:colOff>
                    <xdr:row>4</xdr:row>
                    <xdr:rowOff>28575</xdr:rowOff>
                  </from>
                  <to>
                    <xdr:col>1</xdr:col>
                    <xdr:colOff>0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58"/>
  <sheetViews>
    <sheetView showRowColHeaders="0" workbookViewId="0">
      <selection activeCell="B1" sqref="B1"/>
    </sheetView>
  </sheetViews>
  <sheetFormatPr defaultColWidth="10.85546875" defaultRowHeight="12.75"/>
  <cols>
    <col min="1" max="1" width="6.42578125" style="45" customWidth="1"/>
    <col min="2" max="2" width="48" style="10" customWidth="1"/>
    <col min="3" max="8" width="8.85546875" style="12" customWidth="1"/>
    <col min="9" max="9" width="14" style="13" customWidth="1"/>
    <col min="10" max="10" width="6.85546875" style="45" customWidth="1"/>
    <col min="11" max="16" width="6.85546875" style="14" customWidth="1"/>
    <col min="17" max="18" width="6.28515625" style="14" customWidth="1"/>
    <col min="19" max="16384" width="10.85546875" style="10"/>
  </cols>
  <sheetData>
    <row r="1" spans="1:18" ht="15.75">
      <c r="B1" s="11" t="s">
        <v>9</v>
      </c>
      <c r="C1" s="52" t="s">
        <v>91</v>
      </c>
      <c r="D1" s="52"/>
      <c r="E1" s="52"/>
      <c r="F1" s="52"/>
      <c r="G1" s="52"/>
      <c r="H1" s="52"/>
      <c r="I1" s="13" t="s">
        <v>30</v>
      </c>
    </row>
    <row r="2" spans="1:18">
      <c r="B2" s="43" t="s">
        <v>33</v>
      </c>
      <c r="I2" s="13" t="s">
        <v>92</v>
      </c>
      <c r="K2" s="14" t="s">
        <v>31</v>
      </c>
    </row>
    <row r="3" spans="1:18">
      <c r="B3" s="43" t="s">
        <v>34</v>
      </c>
      <c r="C3" s="52" t="s">
        <v>1</v>
      </c>
      <c r="D3" s="52"/>
      <c r="E3" s="53"/>
      <c r="F3" s="52" t="s">
        <v>2</v>
      </c>
      <c r="G3" s="52"/>
      <c r="H3" s="52"/>
      <c r="I3" s="3" t="s">
        <v>26</v>
      </c>
      <c r="K3" s="12" t="s">
        <v>1</v>
      </c>
      <c r="L3" s="12"/>
      <c r="M3" s="12"/>
      <c r="N3" s="12" t="s">
        <v>2</v>
      </c>
      <c r="O3" s="12"/>
      <c r="P3" s="12"/>
      <c r="R3" s="12" t="s">
        <v>83</v>
      </c>
    </row>
    <row r="4" spans="1:18">
      <c r="A4" s="45" t="s">
        <v>14</v>
      </c>
      <c r="B4" s="10" t="s">
        <v>93</v>
      </c>
      <c r="C4" s="18" t="s">
        <v>10</v>
      </c>
      <c r="D4" s="19" t="s">
        <v>12</v>
      </c>
      <c r="E4" s="20" t="s">
        <v>11</v>
      </c>
      <c r="F4" s="12" t="s">
        <v>10</v>
      </c>
      <c r="G4" s="15" t="s">
        <v>12</v>
      </c>
      <c r="H4" s="15" t="s">
        <v>11</v>
      </c>
      <c r="I4" s="3" t="s">
        <v>27</v>
      </c>
      <c r="J4" s="45" t="s">
        <v>14</v>
      </c>
      <c r="K4" s="12" t="s">
        <v>10</v>
      </c>
      <c r="L4" s="15" t="s">
        <v>12</v>
      </c>
      <c r="M4" s="15" t="s">
        <v>11</v>
      </c>
      <c r="N4" s="12" t="s">
        <v>10</v>
      </c>
      <c r="O4" s="15" t="s">
        <v>12</v>
      </c>
      <c r="P4" s="15" t="s">
        <v>11</v>
      </c>
      <c r="R4" s="12" t="s">
        <v>10</v>
      </c>
    </row>
    <row r="5" spans="1:18">
      <c r="A5" s="45">
        <v>1</v>
      </c>
      <c r="B5" s="10" t="s">
        <v>18</v>
      </c>
      <c r="C5" s="12">
        <v>0</v>
      </c>
      <c r="F5" s="12">
        <v>0</v>
      </c>
      <c r="I5" s="13">
        <v>0</v>
      </c>
      <c r="J5" s="45">
        <f>Anthropometry!A9</f>
        <v>2</v>
      </c>
      <c r="K5" s="14">
        <f>IF(Anthropometry!$A$5=1,INDEX($C$5:$H$49,$J5,1),INDEX($C$5:$I$49,$J5,7)*INDEX($C$5:$H$49,$J5,1))</f>
        <v>68.753</v>
      </c>
      <c r="L5" s="14">
        <f>IF(Anthropometry!$A$5=1,INDEX($C$5:$H$49,$J5,2),INDEX($C$5:$I$49,$J5,7)*INDEX($C$5:$H$49,$J5,2))</f>
        <v>2.6004</v>
      </c>
      <c r="M5" s="14">
        <f>IF(Anthropometry!$A$5=1,INDEX($C$5:$H$49,$J5,3),INDEX($C$5:$I$49,$J5,7)*INDEX($C$5:$H$49,$J5,3))</f>
        <v>2.6004</v>
      </c>
      <c r="N5" s="14">
        <f>IF(Anthropometry!$A$5=1,INDEX($C$5:$H$49,$J5,4),INDEX($C$5:$I$49,$J5,7)*INDEX($C$5:$H$49,$J5,4))</f>
        <v>63.867400000000004</v>
      </c>
      <c r="O5" s="14">
        <f>IF(Anthropometry!$A$5=1,INDEX($C$5:$H$49,$J5,5),INDEX($C$5:$I$49,$J5,7)*INDEX($C$5:$H$49,$J5,5))</f>
        <v>2.3639999999999999</v>
      </c>
      <c r="P5" s="14">
        <f>IF(Anthropometry!$A$5=1,INDEX($C$5:$H$49,$J5,6),INDEX($C$5:$I$49,$J5,7)*INDEX($C$5:$H$49,$J5,6))</f>
        <v>2.3639999999999999</v>
      </c>
      <c r="R5" s="14">
        <f>IF(J5=1,"",(Anthropometry!$C$4*K5+Anthropometry!$D$4*N5)/100)</f>
        <v>66.310200000000009</v>
      </c>
    </row>
    <row r="6" spans="1:18">
      <c r="A6" s="45">
        <v>2</v>
      </c>
      <c r="B6" s="43" t="s">
        <v>37</v>
      </c>
      <c r="C6" s="44">
        <v>174.5</v>
      </c>
      <c r="D6" s="44">
        <v>6.6</v>
      </c>
      <c r="E6" s="44">
        <v>6.6</v>
      </c>
      <c r="F6" s="44">
        <v>162.1</v>
      </c>
      <c r="G6" s="44">
        <v>6</v>
      </c>
      <c r="H6" s="44">
        <v>6</v>
      </c>
      <c r="I6" s="3">
        <v>0.39400000000000002</v>
      </c>
      <c r="J6" s="45">
        <f>Anthropometry!A10</f>
        <v>3</v>
      </c>
      <c r="K6" s="14">
        <f>IF(Anthropometry!$A$5=1,INDEX($C$5:$H$49,$J6,1),INDEX($C$5:$I$49,$J6,7)*INDEX($C$5:$H$49,$J6,1))</f>
        <v>183.04000000000002</v>
      </c>
      <c r="L6" s="14">
        <f>IF(Anthropometry!$A$5=1,INDEX($C$5:$H$49,$J6,2),INDEX($C$5:$I$49,$J6,7)*INDEX($C$5:$H$49,$J6,2))</f>
        <v>33.22</v>
      </c>
      <c r="M6" s="14">
        <f>IF(Anthropometry!$A$5=1,INDEX($C$5:$H$49,$J6,3),INDEX($C$5:$I$49,$J6,7)*INDEX($C$5:$H$49,$J6,3))</f>
        <v>33.22</v>
      </c>
      <c r="N6" s="14">
        <f>IF(Anthropometry!$A$5=1,INDEX($C$5:$H$49,$J6,4),INDEX($C$5:$I$49,$J6,7)*INDEX($C$5:$H$49,$J6,4))</f>
        <v>146.08000000000001</v>
      </c>
      <c r="O6" s="14">
        <f>IF(Anthropometry!$A$5=1,INDEX($C$5:$H$49,$J6,5),INDEX($C$5:$I$49,$J6,7)*INDEX($C$5:$H$49,$J6,5))</f>
        <v>30.580000000000002</v>
      </c>
      <c r="P6" s="14">
        <f>IF(Anthropometry!$A$5=1,INDEX($C$5:$H$49,$J6,6),INDEX($C$5:$I$49,$J6,7)*INDEX($C$5:$H$49,$J6,6))</f>
        <v>30.580000000000002</v>
      </c>
      <c r="R6" s="14">
        <f>IF(J6=1,"",(Anthropometry!$C$4*K6+Anthropometry!$D$4*N6)/100)</f>
        <v>164.56000000000003</v>
      </c>
    </row>
    <row r="7" spans="1:18">
      <c r="A7" s="45">
        <v>3</v>
      </c>
      <c r="B7" s="43" t="s">
        <v>38</v>
      </c>
      <c r="C7" s="44">
        <v>83.2</v>
      </c>
      <c r="D7" s="44">
        <v>15.1</v>
      </c>
      <c r="E7" s="44">
        <v>15.1</v>
      </c>
      <c r="F7" s="44">
        <v>66.400000000000006</v>
      </c>
      <c r="G7" s="44">
        <v>13.9</v>
      </c>
      <c r="H7" s="44">
        <v>13.9</v>
      </c>
      <c r="I7" s="3">
        <v>2.2000000000000002</v>
      </c>
      <c r="J7" s="45">
        <f>Anthropometry!A11</f>
        <v>1</v>
      </c>
      <c r="K7" s="14">
        <f>IF(Anthropometry!$A$5=1,INDEX($C$5:$H$49,$J7,1),INDEX($C$5:$I$49,$J7,7)*INDEX($C$5:$H$49,$J7,1))</f>
        <v>0</v>
      </c>
      <c r="L7" s="14">
        <f>IF(Anthropometry!$A$5=1,INDEX($C$5:$H$49,$J7,2),INDEX($C$5:$I$49,$J7,7)*INDEX($C$5:$H$49,$J7,2))</f>
        <v>0</v>
      </c>
      <c r="M7" s="14">
        <f>IF(Anthropometry!$A$5=1,INDEX($C$5:$H$49,$J7,3),INDEX($C$5:$I$49,$J7,7)*INDEX($C$5:$H$49,$J7,3))</f>
        <v>0</v>
      </c>
      <c r="N7" s="14">
        <f>IF(Anthropometry!$A$5=1,INDEX($C$5:$H$49,$J7,4),INDEX($C$5:$I$49,$J7,7)*INDEX($C$5:$H$49,$J7,4))</f>
        <v>0</v>
      </c>
      <c r="O7" s="14">
        <f>IF(Anthropometry!$A$5=1,INDEX($C$5:$H$49,$J7,5),INDEX($C$5:$I$49,$J7,7)*INDEX($C$5:$H$49,$J7,5))</f>
        <v>0</v>
      </c>
      <c r="P7" s="14">
        <f>IF(Anthropometry!$A$5=1,INDEX($C$5:$H$49,$J7,6),INDEX($C$5:$I$49,$J7,7)*INDEX($C$5:$H$49,$J7,6))</f>
        <v>0</v>
      </c>
      <c r="R7" s="14" t="str">
        <f>IF(J7=1,"",(Anthropometry!$C$4*K7+Anthropometry!$D$4*N7)/100)</f>
        <v/>
      </c>
    </row>
    <row r="8" spans="1:18">
      <c r="A8" s="45">
        <v>4</v>
      </c>
      <c r="B8" s="43" t="s">
        <v>62</v>
      </c>
      <c r="C8" s="44">
        <v>82.6</v>
      </c>
      <c r="D8" s="44">
        <v>4.8</v>
      </c>
      <c r="E8" s="44">
        <v>4.8</v>
      </c>
      <c r="F8" s="44">
        <v>74.099999999999994</v>
      </c>
      <c r="G8" s="44">
        <v>3.9</v>
      </c>
      <c r="H8" s="44">
        <v>3.9</v>
      </c>
      <c r="I8" s="3">
        <v>0.39400000000000002</v>
      </c>
      <c r="J8" s="45">
        <f>Anthropometry!A12</f>
        <v>1</v>
      </c>
      <c r="K8" s="14">
        <f>IF(Anthropometry!$A$5=1,INDEX($C$5:$H$49,$J8,1),INDEX($C$5:$I$49,$J8,7)*INDEX($C$5:$H$49,$J8,1))</f>
        <v>0</v>
      </c>
      <c r="L8" s="14">
        <f>IF(Anthropometry!$A$5=1,INDEX($C$5:$H$49,$J8,2),INDEX($C$5:$I$49,$J8,7)*INDEX($C$5:$H$49,$J8,2))</f>
        <v>0</v>
      </c>
      <c r="M8" s="14">
        <f>IF(Anthropometry!$A$5=1,INDEX($C$5:$H$49,$J8,3),INDEX($C$5:$I$49,$J8,7)*INDEX($C$5:$H$49,$J8,3))</f>
        <v>0</v>
      </c>
      <c r="N8" s="14">
        <f>IF(Anthropometry!$A$5=1,INDEX($C$5:$H$49,$J8,4),INDEX($C$5:$I$49,$J8,7)*INDEX($C$5:$H$49,$J8,4))</f>
        <v>0</v>
      </c>
      <c r="O8" s="14">
        <f>IF(Anthropometry!$A$5=1,INDEX($C$5:$H$49,$J8,5),INDEX($C$5:$I$49,$J8,7)*INDEX($C$5:$H$49,$J8,5))</f>
        <v>0</v>
      </c>
      <c r="P8" s="14">
        <f>IF(Anthropometry!$A$5=1,INDEX($C$5:$H$49,$J8,6),INDEX($C$5:$I$49,$J8,7)*INDEX($C$5:$H$49,$J8,6))</f>
        <v>0</v>
      </c>
      <c r="R8" s="14" t="str">
        <f>IF(J8=1,"",(Anthropometry!$C$4*K8+Anthropometry!$D$4*N8)/100)</f>
        <v/>
      </c>
    </row>
    <row r="9" spans="1:18">
      <c r="A9" s="45">
        <v>5</v>
      </c>
      <c r="B9" s="43" t="s">
        <v>61</v>
      </c>
      <c r="C9" s="44">
        <v>63.8</v>
      </c>
      <c r="D9" s="44">
        <v>4.3</v>
      </c>
      <c r="E9" s="44">
        <v>4.3</v>
      </c>
      <c r="F9" s="44">
        <v>62.5</v>
      </c>
      <c r="G9" s="44">
        <v>3.4</v>
      </c>
      <c r="H9" s="44">
        <v>3.4</v>
      </c>
      <c r="I9" s="3">
        <v>0.39400000000000002</v>
      </c>
      <c r="J9" s="45">
        <f>Anthropometry!A13</f>
        <v>1</v>
      </c>
      <c r="K9" s="14">
        <f>IF(Anthropometry!$A$5=1,INDEX($C$5:$H$49,$J9,1),INDEX($C$5:$I$49,$J9,7)*INDEX($C$5:$H$49,$J9,1))</f>
        <v>0</v>
      </c>
      <c r="L9" s="14">
        <f>IF(Anthropometry!$A$5=1,INDEX($C$5:$H$49,$J9,2),INDEX($C$5:$I$49,$J9,7)*INDEX($C$5:$H$49,$J9,2))</f>
        <v>0</v>
      </c>
      <c r="M9" s="14">
        <f>IF(Anthropometry!$A$5=1,INDEX($C$5:$H$49,$J9,3),INDEX($C$5:$I$49,$J9,7)*INDEX($C$5:$H$49,$J9,3))</f>
        <v>0</v>
      </c>
      <c r="N9" s="14">
        <f>IF(Anthropometry!$A$5=1,INDEX($C$5:$H$49,$J9,4),INDEX($C$5:$I$49,$J9,7)*INDEX($C$5:$H$49,$J9,4))</f>
        <v>0</v>
      </c>
      <c r="O9" s="14">
        <f>IF(Anthropometry!$A$5=1,INDEX($C$5:$H$49,$J9,5),INDEX($C$5:$I$49,$J9,7)*INDEX($C$5:$H$49,$J9,5))</f>
        <v>0</v>
      </c>
      <c r="P9" s="14">
        <f>IF(Anthropometry!$A$5=1,INDEX($C$5:$H$49,$J9,6),INDEX($C$5:$I$49,$J9,7)*INDEX($C$5:$H$49,$J9,6))</f>
        <v>0</v>
      </c>
      <c r="R9" s="14" t="str">
        <f>IF(J9=1,"",(Anthropometry!$C$4*K9+Anthropometry!$D$4*N9)/100)</f>
        <v/>
      </c>
    </row>
    <row r="10" spans="1:18">
      <c r="A10" s="45">
        <v>6</v>
      </c>
      <c r="B10" s="43" t="s">
        <v>63</v>
      </c>
      <c r="C10" s="44">
        <v>62.1</v>
      </c>
      <c r="D10" s="44">
        <v>8.9</v>
      </c>
      <c r="E10" s="44">
        <v>8.9</v>
      </c>
      <c r="F10" s="44">
        <v>60.4</v>
      </c>
      <c r="G10" s="44">
        <v>6.7</v>
      </c>
      <c r="H10" s="44">
        <v>6.7</v>
      </c>
      <c r="I10" s="3">
        <v>0.39400000000000002</v>
      </c>
      <c r="J10" s="45">
        <f>Anthropometry!A14</f>
        <v>1</v>
      </c>
      <c r="K10" s="14">
        <f>IF(Anthropometry!$A$5=1,INDEX($C$5:$H$49,$J10,1),INDEX($C$5:$I$49,$J10,7)*INDEX($C$5:$H$49,$J10,1))</f>
        <v>0</v>
      </c>
      <c r="L10" s="14">
        <f>IF(Anthropometry!$A$5=1,INDEX($C$5:$H$49,$J10,2),INDEX($C$5:$I$49,$J10,7)*INDEX($C$5:$H$49,$J10,2))</f>
        <v>0</v>
      </c>
      <c r="M10" s="14">
        <f>IF(Anthropometry!$A$5=1,INDEX($C$5:$H$49,$J10,3),INDEX($C$5:$I$49,$J10,7)*INDEX($C$5:$H$49,$J10,3))</f>
        <v>0</v>
      </c>
      <c r="N10" s="14">
        <f>IF(Anthropometry!$A$5=1,INDEX($C$5:$H$49,$J10,4),INDEX($C$5:$I$49,$J10,7)*INDEX($C$5:$H$49,$J10,4))</f>
        <v>0</v>
      </c>
      <c r="O10" s="14">
        <f>IF(Anthropometry!$A$5=1,INDEX($C$5:$H$49,$J10,5),INDEX($C$5:$I$49,$J10,7)*INDEX($C$5:$H$49,$J10,5))</f>
        <v>0</v>
      </c>
      <c r="P10" s="14">
        <f>IF(Anthropometry!$A$5=1,INDEX($C$5:$H$49,$J10,6),INDEX($C$5:$I$49,$J10,7)*INDEX($C$5:$H$49,$J10,6))</f>
        <v>0</v>
      </c>
      <c r="R10" s="14" t="str">
        <f>IF(J10=1,"",(Anthropometry!$C$4*K10+Anthropometry!$D$4*N10)/100)</f>
        <v/>
      </c>
    </row>
    <row r="11" spans="1:18">
      <c r="A11" s="45">
        <v>7</v>
      </c>
      <c r="B11" s="43" t="s">
        <v>39</v>
      </c>
      <c r="C11" s="44">
        <v>23.1</v>
      </c>
      <c r="D11" s="44">
        <v>2</v>
      </c>
      <c r="E11" s="44">
        <v>2</v>
      </c>
      <c r="F11" s="44">
        <v>20.9</v>
      </c>
      <c r="G11" s="44">
        <v>2.1</v>
      </c>
      <c r="H11" s="44">
        <v>2.1</v>
      </c>
      <c r="I11" s="3">
        <v>0.39400000000000002</v>
      </c>
      <c r="J11" s="45">
        <f>Anthropometry!A15</f>
        <v>1</v>
      </c>
      <c r="K11" s="14">
        <f>IF(Anthropometry!$A$5=1,INDEX($C$5:$H$49,$J11,1),INDEX($C$5:$I$49,$J11,7)*INDEX($C$5:$H$49,$J11,1))</f>
        <v>0</v>
      </c>
      <c r="L11" s="14">
        <f>IF(Anthropometry!$A$5=1,INDEX($C$5:$H$49,$J11,2),INDEX($C$5:$I$49,$J11,7)*INDEX($C$5:$H$49,$J11,2))</f>
        <v>0</v>
      </c>
      <c r="M11" s="14">
        <f>IF(Anthropometry!$A$5=1,INDEX($C$5:$H$49,$J11,3),INDEX($C$5:$I$49,$J11,7)*INDEX($C$5:$H$49,$J11,3))</f>
        <v>0</v>
      </c>
      <c r="N11" s="14">
        <f>IF(Anthropometry!$A$5=1,INDEX($C$5:$H$49,$J11,4),INDEX($C$5:$I$49,$J11,7)*INDEX($C$5:$H$49,$J11,4))</f>
        <v>0</v>
      </c>
      <c r="O11" s="14">
        <f>IF(Anthropometry!$A$5=1,INDEX($C$5:$H$49,$J11,5),INDEX($C$5:$I$49,$J11,7)*INDEX($C$5:$H$49,$J11,5))</f>
        <v>0</v>
      </c>
      <c r="P11" s="14">
        <f>IF(Anthropometry!$A$5=1,INDEX($C$5:$H$49,$J11,6),INDEX($C$5:$I$49,$J11,7)*INDEX($C$5:$H$49,$J11,6))</f>
        <v>0</v>
      </c>
      <c r="R11" s="14" t="str">
        <f>IF(J11=1,"",(Anthropometry!$C$4*K11+Anthropometry!$D$4*N11)/100)</f>
        <v/>
      </c>
    </row>
    <row r="12" spans="1:18">
      <c r="A12" s="45">
        <v>8</v>
      </c>
      <c r="B12" s="43" t="s">
        <v>67</v>
      </c>
      <c r="C12" s="44">
        <v>106.3</v>
      </c>
      <c r="D12" s="44">
        <v>5.4</v>
      </c>
      <c r="E12" s="44">
        <v>5.4</v>
      </c>
      <c r="F12" s="44">
        <v>101.7</v>
      </c>
      <c r="G12" s="44">
        <v>5</v>
      </c>
      <c r="H12" s="44">
        <v>5</v>
      </c>
      <c r="I12" s="3">
        <v>0.39400000000000002</v>
      </c>
      <c r="J12" s="45">
        <f>Anthropometry!A16</f>
        <v>1</v>
      </c>
      <c r="K12" s="14">
        <f>IF(Anthropometry!$A$5=1,INDEX($C$5:$H$49,$J12,1),INDEX($C$5:$I$49,$J12,7)*INDEX($C$5:$H$49,$J12,1))</f>
        <v>0</v>
      </c>
      <c r="L12" s="14">
        <f>IF(Anthropometry!$A$5=1,INDEX($C$5:$H$49,$J12,2),INDEX($C$5:$I$49,$J12,7)*INDEX($C$5:$H$49,$J12,2))</f>
        <v>0</v>
      </c>
      <c r="M12" s="14">
        <f>IF(Anthropometry!$A$5=1,INDEX($C$5:$H$49,$J12,3),INDEX($C$5:$I$49,$J12,7)*INDEX($C$5:$H$49,$J12,3))</f>
        <v>0</v>
      </c>
      <c r="N12" s="14">
        <f>IF(Anthropometry!$A$5=1,INDEX($C$5:$H$49,$J12,4),INDEX($C$5:$I$49,$J12,7)*INDEX($C$5:$H$49,$J12,4))</f>
        <v>0</v>
      </c>
      <c r="O12" s="14">
        <f>IF(Anthropometry!$A$5=1,INDEX($C$5:$H$49,$J12,5),INDEX($C$5:$I$49,$J12,7)*INDEX($C$5:$H$49,$J12,5))</f>
        <v>0</v>
      </c>
      <c r="P12" s="14">
        <f>IF(Anthropometry!$A$5=1,INDEX($C$5:$H$49,$J12,6),INDEX($C$5:$I$49,$J12,7)*INDEX($C$5:$H$49,$J12,6))</f>
        <v>0</v>
      </c>
      <c r="R12" s="14" t="str">
        <f>IF(J12=1,"",(Anthropometry!$C$4*K12+Anthropometry!$D$4*N12)/100)</f>
        <v/>
      </c>
    </row>
    <row r="13" spans="1:18">
      <c r="A13" s="45">
        <v>9</v>
      </c>
      <c r="B13" s="43" t="s">
        <v>40</v>
      </c>
      <c r="C13" s="44">
        <v>45.6</v>
      </c>
      <c r="D13" s="44">
        <v>2.8</v>
      </c>
      <c r="E13" s="44">
        <v>2.8</v>
      </c>
      <c r="F13" s="44">
        <v>42</v>
      </c>
      <c r="G13" s="44">
        <v>2.4</v>
      </c>
      <c r="H13" s="44">
        <v>2.4</v>
      </c>
      <c r="I13" s="3">
        <v>0.39400000000000002</v>
      </c>
      <c r="J13" s="45">
        <f>Anthropometry!A17</f>
        <v>1</v>
      </c>
      <c r="K13" s="14">
        <f>IF(Anthropometry!$A$5=1,INDEX($C$5:$H$49,$J13,1),INDEX($C$5:$I$49,$J13,7)*INDEX($C$5:$H$49,$J13,1))</f>
        <v>0</v>
      </c>
      <c r="L13" s="14">
        <f>IF(Anthropometry!$A$5=1,INDEX($C$5:$H$49,$J13,2),INDEX($C$5:$I$49,$J13,7)*INDEX($C$5:$H$49,$J13,2))</f>
        <v>0</v>
      </c>
      <c r="M13" s="14">
        <f>IF(Anthropometry!$A$5=1,INDEX($C$5:$H$49,$J13,3),INDEX($C$5:$I$49,$J13,7)*INDEX($C$5:$H$49,$J13,3))</f>
        <v>0</v>
      </c>
      <c r="N13" s="14">
        <f>IF(Anthropometry!$A$5=1,INDEX($C$5:$H$49,$J13,4),INDEX($C$5:$I$49,$J13,7)*INDEX($C$5:$H$49,$J13,4))</f>
        <v>0</v>
      </c>
      <c r="O13" s="14">
        <f>IF(Anthropometry!$A$5=1,INDEX($C$5:$H$49,$J13,5),INDEX($C$5:$I$49,$J13,7)*INDEX($C$5:$H$49,$J13,5))</f>
        <v>0</v>
      </c>
      <c r="P13" s="14">
        <f>IF(Anthropometry!$A$5=1,INDEX($C$5:$H$49,$J13,6),INDEX($C$5:$I$49,$J13,7)*INDEX($C$5:$H$49,$J13,6))</f>
        <v>0</v>
      </c>
      <c r="R13" s="14" t="str">
        <f>IF(J13=1,"",(Anthropometry!$C$4*K13+Anthropometry!$D$4*N13)/100)</f>
        <v/>
      </c>
    </row>
    <row r="14" spans="1:18">
      <c r="A14" s="45">
        <v>10</v>
      </c>
      <c r="B14" s="43" t="s">
        <v>66</v>
      </c>
      <c r="C14" s="44">
        <v>75.5</v>
      </c>
      <c r="D14" s="44">
        <v>4.0999999999999996</v>
      </c>
      <c r="E14" s="44">
        <v>4.0999999999999996</v>
      </c>
      <c r="F14" s="44">
        <v>71</v>
      </c>
      <c r="G14" s="44">
        <v>4</v>
      </c>
      <c r="H14" s="44">
        <v>4</v>
      </c>
      <c r="I14" s="3">
        <v>0.39400000000000002</v>
      </c>
      <c r="J14" s="45">
        <f>Anthropometry!A18</f>
        <v>1</v>
      </c>
      <c r="K14" s="14">
        <f>IF(Anthropometry!$A$5=1,INDEX($C$5:$H$49,$J14,1),INDEX($C$5:$I$49,$J14,7)*INDEX($C$5:$H$49,$J14,1))</f>
        <v>0</v>
      </c>
      <c r="L14" s="14">
        <f>IF(Anthropometry!$A$5=1,INDEX($C$5:$H$49,$J14,2),INDEX($C$5:$I$49,$J14,7)*INDEX($C$5:$H$49,$J14,2))</f>
        <v>0</v>
      </c>
      <c r="M14" s="14">
        <f>IF(Anthropometry!$A$5=1,INDEX($C$5:$H$49,$J14,3),INDEX($C$5:$I$49,$J14,7)*INDEX($C$5:$H$49,$J14,3))</f>
        <v>0</v>
      </c>
      <c r="N14" s="14">
        <f>IF(Anthropometry!$A$5=1,INDEX($C$5:$H$49,$J14,4),INDEX($C$5:$I$49,$J14,7)*INDEX($C$5:$H$49,$J14,4))</f>
        <v>0</v>
      </c>
      <c r="O14" s="14">
        <f>IF(Anthropometry!$A$5=1,INDEX($C$5:$H$49,$J14,5),INDEX($C$5:$I$49,$J14,7)*INDEX($C$5:$H$49,$J14,5))</f>
        <v>0</v>
      </c>
      <c r="P14" s="14">
        <f>IF(Anthropometry!$A$5=1,INDEX($C$5:$H$49,$J14,6),INDEX($C$5:$I$49,$J14,7)*INDEX($C$5:$H$49,$J14,6))</f>
        <v>0</v>
      </c>
      <c r="R14" s="14" t="str">
        <f>IF(J14=1,"",(Anthropometry!$C$4*K14+Anthropometry!$D$4*N14)/100)</f>
        <v/>
      </c>
    </row>
    <row r="15" spans="1:18">
      <c r="A15" s="45">
        <v>11</v>
      </c>
      <c r="B15" s="43" t="s">
        <v>65</v>
      </c>
      <c r="C15" s="44">
        <v>110.5</v>
      </c>
      <c r="D15" s="44">
        <v>4.5</v>
      </c>
      <c r="E15" s="44">
        <v>4.5</v>
      </c>
      <c r="F15" s="44">
        <v>102.6</v>
      </c>
      <c r="G15" s="44">
        <v>4.8</v>
      </c>
      <c r="H15" s="44">
        <v>4.8</v>
      </c>
      <c r="I15" s="3">
        <v>0.39400000000000002</v>
      </c>
      <c r="J15" s="45">
        <f>Anthropometry!A19</f>
        <v>1</v>
      </c>
      <c r="K15" s="14">
        <f>IF(Anthropometry!$A$5=1,INDEX($C$5:$H$49,$J15,1),INDEX($C$5:$I$49,$J15,7)*INDEX($C$5:$H$49,$J15,1))</f>
        <v>0</v>
      </c>
      <c r="L15" s="14">
        <f>IF(Anthropometry!$A$5=1,INDEX($C$5:$H$49,$J15,2),INDEX($C$5:$I$49,$J15,7)*INDEX($C$5:$H$49,$J15,2))</f>
        <v>0</v>
      </c>
      <c r="M15" s="14">
        <f>IF(Anthropometry!$A$5=1,INDEX($C$5:$H$49,$J15,3),INDEX($C$5:$I$49,$J15,7)*INDEX($C$5:$H$49,$J15,3))</f>
        <v>0</v>
      </c>
      <c r="N15" s="14">
        <f>IF(Anthropometry!$A$5=1,INDEX($C$5:$H$49,$J15,4),INDEX($C$5:$I$49,$J15,7)*INDEX($C$5:$H$49,$J15,4))</f>
        <v>0</v>
      </c>
      <c r="O15" s="14">
        <f>IF(Anthropometry!$A$5=1,INDEX($C$5:$H$49,$J15,5),INDEX($C$5:$I$49,$J15,7)*INDEX($C$5:$H$49,$J15,5))</f>
        <v>0</v>
      </c>
      <c r="P15" s="14">
        <f>IF(Anthropometry!$A$5=1,INDEX($C$5:$H$49,$J15,6),INDEX($C$5:$I$49,$J15,7)*INDEX($C$5:$H$49,$J15,6))</f>
        <v>0</v>
      </c>
      <c r="R15" s="14" t="str">
        <f>IF(J15=1,"",(Anthropometry!$C$4*K15+Anthropometry!$D$4*N15)/100)</f>
        <v/>
      </c>
    </row>
    <row r="16" spans="1:18">
      <c r="A16" s="45">
        <v>12</v>
      </c>
      <c r="B16" s="43" t="s">
        <v>64</v>
      </c>
      <c r="C16" s="44">
        <v>143.69999999999999</v>
      </c>
      <c r="D16" s="44">
        <v>6.2</v>
      </c>
      <c r="E16" s="44">
        <v>6.2</v>
      </c>
      <c r="F16" s="44">
        <v>132.9</v>
      </c>
      <c r="G16" s="44">
        <v>5.5</v>
      </c>
      <c r="H16" s="44">
        <v>5.5</v>
      </c>
      <c r="I16" s="3">
        <v>0.39400000000000002</v>
      </c>
    </row>
    <row r="17" spans="1:18">
      <c r="A17" s="45">
        <v>13</v>
      </c>
      <c r="B17" s="43" t="s">
        <v>68</v>
      </c>
      <c r="C17" s="44">
        <v>164.4</v>
      </c>
      <c r="D17" s="44">
        <v>6.1</v>
      </c>
      <c r="E17" s="44">
        <v>6.1</v>
      </c>
      <c r="F17" s="44">
        <v>151.4</v>
      </c>
      <c r="G17" s="44">
        <v>5.6</v>
      </c>
      <c r="H17" s="44">
        <v>5.6</v>
      </c>
      <c r="I17" s="3">
        <v>0.39400000000000002</v>
      </c>
      <c r="J17" s="45" t="s">
        <v>14</v>
      </c>
      <c r="K17" s="16" t="s">
        <v>32</v>
      </c>
    </row>
    <row r="18" spans="1:18">
      <c r="A18" s="45">
        <v>14</v>
      </c>
      <c r="B18" s="43" t="s">
        <v>69</v>
      </c>
      <c r="C18" s="44">
        <v>209.6</v>
      </c>
      <c r="D18" s="44">
        <v>8.5</v>
      </c>
      <c r="E18" s="44">
        <v>8.5</v>
      </c>
      <c r="F18" s="44">
        <v>199.2</v>
      </c>
      <c r="G18" s="44">
        <v>8.6</v>
      </c>
      <c r="H18" s="44">
        <v>8.6</v>
      </c>
      <c r="I18" s="3">
        <v>0.39400000000000002</v>
      </c>
      <c r="J18" s="45">
        <f t="shared" ref="J18:J28" si="0">J5</f>
        <v>2</v>
      </c>
      <c r="K18" s="14">
        <f>IF(Anthropometry!C9&lt;$K5,$L5,$M5)</f>
        <v>2.6004</v>
      </c>
      <c r="L18" s="14">
        <f>IF(Anthropometry!D9&lt;$K5,$L5,$M5)</f>
        <v>2.6004</v>
      </c>
      <c r="M18" s="14">
        <f>IF(Anthropometry!E9&lt;$K5,$L5,$M5)</f>
        <v>2.6004</v>
      </c>
      <c r="N18" s="14">
        <f>IF(Anthropometry!F9&lt;$K5,$L5,$M5)</f>
        <v>2.6004</v>
      </c>
      <c r="O18" s="14">
        <f>IF(Anthropometry!C9&lt;$N5,$O5,$P5)</f>
        <v>2.3639999999999999</v>
      </c>
      <c r="P18" s="14">
        <f>IF(Anthropometry!D9&lt;$N5,$O5,$P5)</f>
        <v>2.3639999999999999</v>
      </c>
      <c r="Q18" s="14">
        <f>IF(Anthropometry!E9&lt;$N5,$O5,$P5)</f>
        <v>2.3639999999999999</v>
      </c>
      <c r="R18" s="14">
        <f>IF(Anthropometry!F9&lt;$N5,$O5,$P5)</f>
        <v>2.3639999999999999</v>
      </c>
    </row>
    <row r="19" spans="1:18">
      <c r="A19" s="45">
        <v>15</v>
      </c>
      <c r="B19" s="43" t="s">
        <v>70</v>
      </c>
      <c r="C19" s="44">
        <v>14.7</v>
      </c>
      <c r="D19" s="44">
        <v>1.4</v>
      </c>
      <c r="E19" s="44">
        <v>1.4</v>
      </c>
      <c r="F19" s="44">
        <v>12.4</v>
      </c>
      <c r="G19" s="44">
        <v>1.2</v>
      </c>
      <c r="H19" s="44">
        <v>1.2</v>
      </c>
      <c r="I19" s="3">
        <v>0.39400000000000002</v>
      </c>
      <c r="J19" s="45">
        <f t="shared" si="0"/>
        <v>3</v>
      </c>
      <c r="K19" s="14">
        <f>IF(Anthropometry!C10&lt;$K6,$L6,$M6)</f>
        <v>33.22</v>
      </c>
      <c r="L19" s="14">
        <f>IF(Anthropometry!D10&lt;$K6,$L6,$M6)</f>
        <v>33.22</v>
      </c>
      <c r="M19" s="14">
        <f>IF(Anthropometry!E10&lt;$K6,$L6,$M6)</f>
        <v>33.22</v>
      </c>
      <c r="N19" s="14">
        <f>IF(Anthropometry!F10&lt;$K6,$L6,$M6)</f>
        <v>33.22</v>
      </c>
      <c r="O19" s="14">
        <f>IF(Anthropometry!C10&lt;$N6,$O6,$P6)</f>
        <v>30.580000000000002</v>
      </c>
      <c r="P19" s="14">
        <f>IF(Anthropometry!D10&lt;$N6,$O6,$P6)</f>
        <v>30.580000000000002</v>
      </c>
      <c r="Q19" s="14">
        <f>IF(Anthropometry!E10&lt;$N6,$O6,$P6)</f>
        <v>30.580000000000002</v>
      </c>
      <c r="R19" s="14">
        <f>IF(Anthropometry!F10&lt;$N6,$O6,$P6)</f>
        <v>30.580000000000002</v>
      </c>
    </row>
    <row r="20" spans="1:18">
      <c r="A20" s="45">
        <v>16</v>
      </c>
      <c r="B20" s="43" t="s">
        <v>71</v>
      </c>
      <c r="C20" s="44">
        <v>24.1</v>
      </c>
      <c r="D20" s="44">
        <v>3.2</v>
      </c>
      <c r="E20" s="44">
        <v>3.2</v>
      </c>
      <c r="F20" s="44">
        <v>23.1</v>
      </c>
      <c r="G20" s="44">
        <v>3</v>
      </c>
      <c r="H20" s="44">
        <v>3</v>
      </c>
      <c r="I20" s="3">
        <v>0.39400000000000002</v>
      </c>
      <c r="J20" s="45">
        <f t="shared" si="0"/>
        <v>1</v>
      </c>
      <c r="K20" s="14">
        <f>IF(Anthropometry!C11&lt;$K7,$L7,$M7)</f>
        <v>0</v>
      </c>
      <c r="L20" s="14">
        <f>IF(Anthropometry!D11&lt;$K7,$L7,$M7)</f>
        <v>0</v>
      </c>
      <c r="M20" s="14">
        <f>IF(Anthropometry!E11&lt;$K7,$L7,$M7)</f>
        <v>0</v>
      </c>
      <c r="N20" s="14">
        <f>IF(Anthropometry!F11&lt;$K7,$L7,$M7)</f>
        <v>0</v>
      </c>
      <c r="O20" s="14">
        <f>IF(Anthropometry!C11&lt;$N7,$O7,$P7)</f>
        <v>0</v>
      </c>
      <c r="P20" s="14">
        <f>IF(Anthropometry!D11&lt;$N7,$O7,$P7)</f>
        <v>0</v>
      </c>
      <c r="Q20" s="14">
        <f>IF(Anthropometry!E11&lt;$N7,$O7,$P7)</f>
        <v>0</v>
      </c>
      <c r="R20" s="14">
        <f>IF(Anthropometry!F11&lt;$N7,$O7,$P7)</f>
        <v>0</v>
      </c>
    </row>
    <row r="21" spans="1:18">
      <c r="A21" s="45">
        <v>17</v>
      </c>
      <c r="B21" s="43" t="s">
        <v>72</v>
      </c>
      <c r="C21" s="44">
        <v>62.4</v>
      </c>
      <c r="D21" s="44">
        <v>3.2</v>
      </c>
      <c r="E21" s="44">
        <v>3.2</v>
      </c>
      <c r="F21" s="44">
        <v>58</v>
      </c>
      <c r="G21" s="44">
        <v>2.7</v>
      </c>
      <c r="H21" s="44">
        <v>2.7</v>
      </c>
      <c r="I21" s="3">
        <v>0.39400000000000002</v>
      </c>
      <c r="J21" s="45">
        <f t="shared" si="0"/>
        <v>1</v>
      </c>
      <c r="K21" s="14">
        <f>IF(Anthropometry!C12&lt;$K8,$L8,$M8)</f>
        <v>0</v>
      </c>
      <c r="L21" s="14">
        <f>IF(Anthropometry!D12&lt;$K8,$L8,$M8)</f>
        <v>0</v>
      </c>
      <c r="M21" s="14">
        <f>IF(Anthropometry!E12&lt;$K8,$L8,$M8)</f>
        <v>0</v>
      </c>
      <c r="N21" s="14">
        <f>IF(Anthropometry!F12&lt;$K8,$L8,$M8)</f>
        <v>0</v>
      </c>
      <c r="O21" s="14">
        <f>IF(Anthropometry!C12&lt;$N8,$O8,$P8)</f>
        <v>0</v>
      </c>
      <c r="P21" s="14">
        <f>IF(Anthropometry!D12&lt;$N8,$O8,$P8)</f>
        <v>0</v>
      </c>
      <c r="Q21" s="14">
        <f>IF(Anthropometry!E12&lt;$N8,$O8,$P8)</f>
        <v>0</v>
      </c>
      <c r="R21" s="14">
        <f>IF(Anthropometry!F12&lt;$N8,$O8,$P8)</f>
        <v>0</v>
      </c>
    </row>
    <row r="22" spans="1:18">
      <c r="A22" s="45">
        <v>18</v>
      </c>
      <c r="B22" s="43" t="s">
        <v>73</v>
      </c>
      <c r="C22" s="44">
        <v>78.7</v>
      </c>
      <c r="D22" s="44">
        <v>3.6</v>
      </c>
      <c r="E22" s="44">
        <v>3.6</v>
      </c>
      <c r="F22" s="44">
        <v>73.7</v>
      </c>
      <c r="G22" s="44">
        <v>3.1</v>
      </c>
      <c r="H22" s="44">
        <v>3.1</v>
      </c>
      <c r="I22" s="3">
        <v>0.39400000000000002</v>
      </c>
      <c r="J22" s="45">
        <f t="shared" si="0"/>
        <v>1</v>
      </c>
      <c r="K22" s="14">
        <f>IF(Anthropometry!C13&lt;$K9,$L9,$M9)</f>
        <v>0</v>
      </c>
      <c r="L22" s="14">
        <f>IF(Anthropometry!D13&lt;$K9,$L9,$M9)</f>
        <v>0</v>
      </c>
      <c r="M22" s="14">
        <f>IF(Anthropometry!E13&lt;$K9,$L9,$M9)</f>
        <v>0</v>
      </c>
      <c r="N22" s="14">
        <f>IF(Anthropometry!F13&lt;$K9,$L9,$M9)</f>
        <v>0</v>
      </c>
      <c r="O22" s="14">
        <f>IF(Anthropometry!C13&lt;$N9,$O9,$P9)</f>
        <v>0</v>
      </c>
      <c r="P22" s="14">
        <f>IF(Anthropometry!D13&lt;$N9,$O9,$P9)</f>
        <v>0</v>
      </c>
      <c r="Q22" s="14">
        <f>IF(Anthropometry!E13&lt;$N9,$O9,$P9)</f>
        <v>0</v>
      </c>
      <c r="R22" s="14">
        <f>IF(Anthropometry!F13&lt;$N9,$O9,$P9)</f>
        <v>0</v>
      </c>
    </row>
    <row r="23" spans="1:18">
      <c r="A23" s="45">
        <v>19</v>
      </c>
      <c r="B23" s="43" t="s">
        <v>74</v>
      </c>
      <c r="C23" s="44">
        <v>86.6</v>
      </c>
      <c r="D23" s="44">
        <v>3.8</v>
      </c>
      <c r="E23" s="44">
        <v>3.8</v>
      </c>
      <c r="F23" s="44">
        <v>81.8</v>
      </c>
      <c r="G23" s="44">
        <v>4</v>
      </c>
      <c r="H23" s="44">
        <v>4</v>
      </c>
      <c r="I23" s="3">
        <v>0.39400000000000002</v>
      </c>
      <c r="J23" s="45">
        <f t="shared" si="0"/>
        <v>1</v>
      </c>
      <c r="K23" s="14">
        <f>IF(Anthropometry!C14&lt;$K10,$L10,$M10)</f>
        <v>0</v>
      </c>
      <c r="L23" s="14">
        <f>IF(Anthropometry!D14&lt;$K10,$L10,$M10)</f>
        <v>0</v>
      </c>
      <c r="M23" s="14">
        <f>IF(Anthropometry!E14&lt;$K10,$L10,$M10)</f>
        <v>0</v>
      </c>
      <c r="N23" s="14">
        <f>IF(Anthropometry!F14&lt;$K10,$L10,$M10)</f>
        <v>0</v>
      </c>
      <c r="O23" s="14">
        <f>IF(Anthropometry!C14&lt;$N10,$O10,$P10)</f>
        <v>0</v>
      </c>
      <c r="P23" s="14">
        <f>IF(Anthropometry!D14&lt;$N10,$O10,$P10)</f>
        <v>0</v>
      </c>
      <c r="Q23" s="14">
        <f>IF(Anthropometry!E14&lt;$N10,$O10,$P10)</f>
        <v>0</v>
      </c>
      <c r="R23" s="14">
        <f>IF(Anthropometry!F14&lt;$N10,$O10,$P10)</f>
        <v>0</v>
      </c>
    </row>
    <row r="24" spans="1:18">
      <c r="A24" s="45">
        <v>20</v>
      </c>
      <c r="B24" s="43" t="s">
        <v>75</v>
      </c>
      <c r="C24" s="44">
        <v>128.4</v>
      </c>
      <c r="D24" s="44">
        <v>8.5</v>
      </c>
      <c r="E24" s="44">
        <v>8.5</v>
      </c>
      <c r="F24" s="44">
        <v>119.8</v>
      </c>
      <c r="G24" s="44">
        <v>6.6</v>
      </c>
      <c r="H24" s="44">
        <v>6.6</v>
      </c>
      <c r="I24" s="3">
        <v>0.39400000000000002</v>
      </c>
      <c r="J24" s="45">
        <f t="shared" si="0"/>
        <v>1</v>
      </c>
      <c r="K24" s="14">
        <f>IF(Anthropometry!C15&lt;$K11,$L11,$M11)</f>
        <v>0</v>
      </c>
      <c r="L24" s="14">
        <f>IF(Anthropometry!D15&lt;$K11,$L11,$M11)</f>
        <v>0</v>
      </c>
      <c r="M24" s="14">
        <f>IF(Anthropometry!E15&lt;$K11,$L11,$M11)</f>
        <v>0</v>
      </c>
      <c r="N24" s="14">
        <f>IF(Anthropometry!F15&lt;$K11,$L11,$M11)</f>
        <v>0</v>
      </c>
      <c r="O24" s="14">
        <f>IF(Anthropometry!C15&lt;$N11,$O11,$P11)</f>
        <v>0</v>
      </c>
      <c r="P24" s="14">
        <f>IF(Anthropometry!D15&lt;$N11,$O11,$P11)</f>
        <v>0</v>
      </c>
      <c r="Q24" s="14">
        <f>IF(Anthropometry!E15&lt;$N11,$O11,$P11)</f>
        <v>0</v>
      </c>
      <c r="R24" s="14">
        <f>IF(Anthropometry!F15&lt;$N11,$O11,$P11)</f>
        <v>0</v>
      </c>
    </row>
    <row r="25" spans="1:18">
      <c r="A25" s="45">
        <v>21</v>
      </c>
      <c r="B25" s="43" t="s">
        <v>76</v>
      </c>
      <c r="C25" s="44">
        <v>54</v>
      </c>
      <c r="D25" s="44">
        <v>2.7</v>
      </c>
      <c r="E25" s="44">
        <v>2.7</v>
      </c>
      <c r="F25" s="44">
        <v>51</v>
      </c>
      <c r="G25" s="44">
        <v>2.6</v>
      </c>
      <c r="H25" s="44">
        <v>2.6</v>
      </c>
      <c r="I25" s="3">
        <v>0.39400000000000002</v>
      </c>
      <c r="J25" s="45">
        <f t="shared" si="0"/>
        <v>1</v>
      </c>
      <c r="K25" s="14">
        <f>IF(Anthropometry!C16&lt;$K12,$L12,$M12)</f>
        <v>0</v>
      </c>
      <c r="L25" s="14">
        <f>IF(Anthropometry!D16&lt;$K12,$L12,$M12)</f>
        <v>0</v>
      </c>
      <c r="M25" s="14">
        <f>IF(Anthropometry!E16&lt;$K12,$L12,$M12)</f>
        <v>0</v>
      </c>
      <c r="N25" s="14">
        <f>IF(Anthropometry!F16&lt;$K12,$L12,$M12)</f>
        <v>0</v>
      </c>
      <c r="O25" s="14">
        <f>IF(Anthropometry!C16&lt;$N12,$O12,$P12)</f>
        <v>0</v>
      </c>
      <c r="P25" s="14">
        <f>IF(Anthropometry!D16&lt;$N12,$O12,$P12)</f>
        <v>0</v>
      </c>
      <c r="Q25" s="14">
        <f>IF(Anthropometry!E16&lt;$N12,$O12,$P12)</f>
        <v>0</v>
      </c>
      <c r="R25" s="14">
        <f>IF(Anthropometry!F16&lt;$N12,$O12,$P12)</f>
        <v>0</v>
      </c>
    </row>
    <row r="26" spans="1:18">
      <c r="A26" s="45">
        <v>22</v>
      </c>
      <c r="B26" s="43" t="s">
        <v>77</v>
      </c>
      <c r="C26" s="44">
        <v>44.6</v>
      </c>
      <c r="D26" s="44">
        <v>2.5</v>
      </c>
      <c r="E26" s="44">
        <v>2.5</v>
      </c>
      <c r="F26" s="44">
        <v>41</v>
      </c>
      <c r="G26" s="44">
        <v>1.9</v>
      </c>
      <c r="H26" s="44">
        <v>1.9</v>
      </c>
      <c r="I26" s="3">
        <v>0.39400000000000002</v>
      </c>
      <c r="J26" s="45">
        <f t="shared" si="0"/>
        <v>1</v>
      </c>
      <c r="K26" s="14">
        <f>IF(Anthropometry!C17&lt;$K13,$L13,$M13)</f>
        <v>0</v>
      </c>
      <c r="L26" s="14">
        <f>IF(Anthropometry!D17&lt;$K13,$L13,$M13)</f>
        <v>0</v>
      </c>
      <c r="M26" s="14">
        <f>IF(Anthropometry!E17&lt;$K13,$L13,$M13)</f>
        <v>0</v>
      </c>
      <c r="N26" s="14">
        <f>IF(Anthropometry!F17&lt;$K13,$L13,$M13)</f>
        <v>0</v>
      </c>
      <c r="O26" s="14">
        <f>IF(Anthropometry!C17&lt;$N13,$O13,$P13)</f>
        <v>0</v>
      </c>
      <c r="P26" s="14">
        <f>IF(Anthropometry!D17&lt;$N13,$O13,$P13)</f>
        <v>0</v>
      </c>
      <c r="Q26" s="14">
        <f>IF(Anthropometry!E17&lt;$N13,$O13,$P13)</f>
        <v>0</v>
      </c>
      <c r="R26" s="14">
        <f>IF(Anthropometry!F17&lt;$N13,$O13,$P13)</f>
        <v>0</v>
      </c>
    </row>
    <row r="27" spans="1:18">
      <c r="A27" s="45">
        <v>23</v>
      </c>
      <c r="B27" s="43" t="s">
        <v>78</v>
      </c>
      <c r="C27" s="44">
        <v>105.1</v>
      </c>
      <c r="D27" s="44">
        <v>4.8</v>
      </c>
      <c r="E27" s="44">
        <v>4.8</v>
      </c>
      <c r="F27" s="44">
        <v>100.7</v>
      </c>
      <c r="G27" s="44">
        <v>4.3</v>
      </c>
      <c r="H27" s="44">
        <v>4.3</v>
      </c>
      <c r="I27" s="3">
        <v>0.39400000000000002</v>
      </c>
      <c r="J27" s="45">
        <f t="shared" si="0"/>
        <v>1</v>
      </c>
      <c r="K27" s="14">
        <f>IF(Anthropometry!C18&lt;$K14,$L14,$M14)</f>
        <v>0</v>
      </c>
      <c r="L27" s="14">
        <f>IF(Anthropometry!D18&lt;$K14,$L14,$M14)</f>
        <v>0</v>
      </c>
      <c r="M27" s="14">
        <f>IF(Anthropometry!E18&lt;$K14,$L14,$M14)</f>
        <v>0</v>
      </c>
      <c r="N27" s="14">
        <f>IF(Anthropometry!F18&lt;$K14,$L14,$M14)</f>
        <v>0</v>
      </c>
      <c r="O27" s="14">
        <f>IF(Anthropometry!C18&lt;$N14,$O14,$P14)</f>
        <v>0</v>
      </c>
      <c r="P27" s="14">
        <f>IF(Anthropometry!D18&lt;$N14,$O14,$P14)</f>
        <v>0</v>
      </c>
      <c r="Q27" s="14">
        <f>IF(Anthropometry!E18&lt;$N14,$O14,$P14)</f>
        <v>0</v>
      </c>
      <c r="R27" s="14">
        <f>IF(Anthropometry!F18&lt;$N14,$O14,$P14)</f>
        <v>0</v>
      </c>
    </row>
    <row r="28" spans="1:18">
      <c r="A28" s="45">
        <v>24</v>
      </c>
      <c r="B28" s="43" t="s">
        <v>79</v>
      </c>
      <c r="C28" s="44">
        <v>59.4</v>
      </c>
      <c r="D28" s="44">
        <v>2.8</v>
      </c>
      <c r="E28" s="44">
        <v>2.8</v>
      </c>
      <c r="F28" s="44">
        <v>57.4</v>
      </c>
      <c r="G28" s="44">
        <v>2.6</v>
      </c>
      <c r="H28" s="44">
        <v>2.6</v>
      </c>
      <c r="I28" s="3">
        <v>0.39400000000000002</v>
      </c>
      <c r="J28" s="45">
        <f t="shared" si="0"/>
        <v>1</v>
      </c>
      <c r="K28" s="14">
        <f>IF(Anthropometry!C19&lt;$K15,$L15,$M15)</f>
        <v>0</v>
      </c>
      <c r="L28" s="14">
        <f>IF(Anthropometry!D19&lt;$K15,$L15,$M15)</f>
        <v>0</v>
      </c>
      <c r="M28" s="14">
        <f>IF(Anthropometry!E19&lt;$K15,$L15,$M15)</f>
        <v>0</v>
      </c>
      <c r="N28" s="14">
        <f>IF(Anthropometry!F19&lt;$K15,$L15,$M15)</f>
        <v>0</v>
      </c>
      <c r="O28" s="14">
        <f>IF(Anthropometry!C19&lt;$N15,$O15,$P15)</f>
        <v>0</v>
      </c>
      <c r="P28" s="14">
        <f>IF(Anthropometry!D19&lt;$N15,$O15,$P15)</f>
        <v>0</v>
      </c>
      <c r="Q28" s="14">
        <f>IF(Anthropometry!E19&lt;$N15,$O15,$P15)</f>
        <v>0</v>
      </c>
      <c r="R28" s="14">
        <f>IF(Anthropometry!F19&lt;$N15,$O15,$P15)</f>
        <v>0</v>
      </c>
    </row>
    <row r="29" spans="1:18">
      <c r="A29" s="45">
        <v>25</v>
      </c>
      <c r="B29" s="43" t="s">
        <v>80</v>
      </c>
      <c r="C29" s="44">
        <v>49.8</v>
      </c>
      <c r="D29" s="44">
        <v>2.5</v>
      </c>
      <c r="E29" s="44">
        <v>2.5</v>
      </c>
      <c r="F29" s="44">
        <v>48</v>
      </c>
      <c r="G29" s="44">
        <v>3.2</v>
      </c>
      <c r="H29" s="44">
        <v>3.2</v>
      </c>
      <c r="I29" s="3">
        <v>0.39400000000000002</v>
      </c>
    </row>
    <row r="30" spans="1:18">
      <c r="A30" s="45">
        <v>26</v>
      </c>
      <c r="B30" s="43" t="s">
        <v>41</v>
      </c>
      <c r="C30" s="44">
        <v>38.5</v>
      </c>
      <c r="D30" s="44">
        <v>2.1</v>
      </c>
      <c r="E30" s="44">
        <v>2.1</v>
      </c>
      <c r="F30" s="44">
        <v>34.799999999999997</v>
      </c>
      <c r="G30" s="44">
        <v>2.2999999999999998</v>
      </c>
      <c r="H30" s="44">
        <v>2.2999999999999998</v>
      </c>
      <c r="I30" s="3">
        <v>0.39400000000000002</v>
      </c>
      <c r="J30" s="45" t="s">
        <v>14</v>
      </c>
      <c r="K30" s="17" t="s">
        <v>16</v>
      </c>
    </row>
    <row r="31" spans="1:18">
      <c r="A31" s="45">
        <v>27</v>
      </c>
      <c r="B31" s="43" t="s">
        <v>42</v>
      </c>
      <c r="C31" s="44">
        <v>36.9</v>
      </c>
      <c r="D31" s="44">
        <v>1.9</v>
      </c>
      <c r="E31" s="44">
        <v>1.9</v>
      </c>
      <c r="F31" s="44">
        <v>34.1</v>
      </c>
      <c r="G31" s="44">
        <v>2.5</v>
      </c>
      <c r="H31" s="44">
        <v>2.5</v>
      </c>
      <c r="I31" s="3">
        <v>0.39400000000000002</v>
      </c>
      <c r="J31" s="45">
        <f>J5</f>
        <v>2</v>
      </c>
      <c r="K31" s="14">
        <f>IF($J31=1,"",Tables!O$43-Tables!O45)</f>
        <v>-6.6132484248004886E-4</v>
      </c>
      <c r="L31" s="14">
        <f>IF($J31=1,"",Tables!P$43-Tables!P45)</f>
        <v>1.8620188678966088E-3</v>
      </c>
      <c r="M31" s="14">
        <f>IF($J31=1,"",Tables!Q$43-Tables!Q45)</f>
        <v>-2.1331160623905276E-4</v>
      </c>
      <c r="N31" s="14">
        <f>IF($J31=1,"",Tables!R$43-Tables!R45)</f>
        <v>7.1953982044306031E-3</v>
      </c>
    </row>
    <row r="32" spans="1:18">
      <c r="A32" s="45">
        <v>28</v>
      </c>
      <c r="B32" s="43" t="s">
        <v>43</v>
      </c>
      <c r="C32" s="44">
        <v>45.4</v>
      </c>
      <c r="D32" s="44">
        <v>1.9</v>
      </c>
      <c r="E32" s="44">
        <v>1.9</v>
      </c>
      <c r="F32" s="44">
        <v>39</v>
      </c>
      <c r="G32" s="44">
        <v>2.1</v>
      </c>
      <c r="H32" s="44">
        <v>2.1</v>
      </c>
      <c r="I32" s="3">
        <v>0.39400000000000002</v>
      </c>
      <c r="J32" s="45">
        <f t="shared" ref="J32:J41" si="1">J6</f>
        <v>3</v>
      </c>
      <c r="K32" s="14">
        <f>IF($J32=1,"",Tables!O$43-Tables!O46)</f>
        <v>-3.3557811829698636E-3</v>
      </c>
      <c r="L32" s="14">
        <f>IF($J32=1,"",Tables!P$43-Tables!P46)</f>
        <v>4.3700236887787014E-3</v>
      </c>
      <c r="M32" s="14">
        <f>IF($J32=1,"",Tables!Q$43-Tables!Q46)</f>
        <v>-5.2751868093987575E-3</v>
      </c>
      <c r="N32" s="14">
        <f>IF($J32=1,"",Tables!R$43-Tables!R46)</f>
        <v>3.9655644767861986E-3</v>
      </c>
    </row>
    <row r="33" spans="1:18">
      <c r="A33" s="45">
        <v>29</v>
      </c>
      <c r="B33" s="43" t="s">
        <v>44</v>
      </c>
      <c r="C33" s="44">
        <v>35.6</v>
      </c>
      <c r="D33" s="44">
        <v>2.2999999999999998</v>
      </c>
      <c r="E33" s="44">
        <v>2.2999999999999998</v>
      </c>
      <c r="F33" s="44">
        <v>38</v>
      </c>
      <c r="G33" s="44">
        <v>2.6</v>
      </c>
      <c r="H33" s="44">
        <v>2.6</v>
      </c>
      <c r="I33" s="3">
        <v>0.39400000000000002</v>
      </c>
      <c r="J33" s="45">
        <f t="shared" si="1"/>
        <v>1</v>
      </c>
      <c r="K33" s="14" t="str">
        <f>IF($J33=1,"",Tables!O$43-Tables!O47)</f>
        <v/>
      </c>
      <c r="L33" s="14" t="str">
        <f>IF($J33=1,"",Tables!P$43-Tables!P47)</f>
        <v/>
      </c>
      <c r="M33" s="14" t="str">
        <f>IF($J33=1,"",Tables!Q$43-Tables!Q47)</f>
        <v/>
      </c>
      <c r="N33" s="14" t="str">
        <f>IF($J33=1,"",Tables!R$43-Tables!R47)</f>
        <v/>
      </c>
    </row>
    <row r="34" spans="1:18">
      <c r="A34" s="45">
        <v>30</v>
      </c>
      <c r="B34" s="43" t="s">
        <v>45</v>
      </c>
      <c r="C34" s="44">
        <v>26.8</v>
      </c>
      <c r="D34" s="44">
        <v>1.3</v>
      </c>
      <c r="E34" s="44">
        <v>1.3</v>
      </c>
      <c r="F34" s="44">
        <v>24.1</v>
      </c>
      <c r="G34" s="44">
        <v>1.1000000000000001</v>
      </c>
      <c r="H34" s="44">
        <v>1.1000000000000001</v>
      </c>
      <c r="I34" s="3">
        <v>0.39400000000000002</v>
      </c>
      <c r="J34" s="45">
        <f t="shared" si="1"/>
        <v>1</v>
      </c>
      <c r="K34" s="14" t="str">
        <f>IF($J34=1,"",Tables!O$43-Tables!O48)</f>
        <v/>
      </c>
      <c r="L34" s="14" t="str">
        <f>IF($J34=1,"",Tables!P$43-Tables!P48)</f>
        <v/>
      </c>
      <c r="M34" s="14" t="str">
        <f>IF($J34=1,"",Tables!Q$43-Tables!Q48)</f>
        <v/>
      </c>
      <c r="N34" s="14" t="str">
        <f>IF($J34=1,"",Tables!R$43-Tables!R48)</f>
        <v/>
      </c>
    </row>
    <row r="35" spans="1:18">
      <c r="A35" s="45">
        <v>31</v>
      </c>
      <c r="B35" s="43" t="s">
        <v>46</v>
      </c>
      <c r="C35" s="44">
        <v>10</v>
      </c>
      <c r="D35" s="44">
        <v>0.6</v>
      </c>
      <c r="E35" s="44">
        <v>0.6</v>
      </c>
      <c r="F35" s="44">
        <v>8.9</v>
      </c>
      <c r="G35" s="44">
        <v>0.5</v>
      </c>
      <c r="H35" s="44">
        <v>0.5</v>
      </c>
      <c r="I35" s="3">
        <v>0.39400000000000002</v>
      </c>
      <c r="J35" s="45">
        <f t="shared" si="1"/>
        <v>1</v>
      </c>
      <c r="K35" s="14" t="str">
        <f>IF($J35=1,"",Tables!O$43-Tables!O49)</f>
        <v/>
      </c>
      <c r="L35" s="14" t="str">
        <f>IF($J35=1,"",Tables!P$43-Tables!P49)</f>
        <v/>
      </c>
      <c r="M35" s="14" t="str">
        <f>IF($J35=1,"",Tables!Q$43-Tables!Q49)</f>
        <v/>
      </c>
      <c r="N35" s="14" t="str">
        <f>IF($J35=1,"",Tables!R$43-Tables!R49)</f>
        <v/>
      </c>
    </row>
    <row r="36" spans="1:18">
      <c r="A36" s="45">
        <v>32</v>
      </c>
      <c r="B36" s="43" t="s">
        <v>47</v>
      </c>
      <c r="C36" s="44">
        <v>3.3</v>
      </c>
      <c r="D36" s="44">
        <v>0.2</v>
      </c>
      <c r="E36" s="44">
        <v>0.2</v>
      </c>
      <c r="F36" s="44">
        <v>2.8</v>
      </c>
      <c r="G36" s="44">
        <v>0.2</v>
      </c>
      <c r="H36" s="44">
        <v>0.2</v>
      </c>
      <c r="I36" s="3">
        <v>0.39400000000000002</v>
      </c>
      <c r="J36" s="45">
        <f t="shared" si="1"/>
        <v>1</v>
      </c>
      <c r="K36" s="14" t="str">
        <f>IF($J36=1,"",Tables!O$43-Tables!O50)</f>
        <v/>
      </c>
      <c r="L36" s="14" t="str">
        <f>IF($J36=1,"",Tables!P$43-Tables!P50)</f>
        <v/>
      </c>
      <c r="M36" s="14" t="str">
        <f>IF($J36=1,"",Tables!Q$43-Tables!Q50)</f>
        <v/>
      </c>
      <c r="N36" s="14" t="str">
        <f>IF($J36=1,"",Tables!R$43-Tables!R50)</f>
        <v/>
      </c>
    </row>
    <row r="37" spans="1:18">
      <c r="A37" s="45">
        <v>33</v>
      </c>
      <c r="B37" s="43" t="s">
        <v>48</v>
      </c>
      <c r="C37" s="44">
        <v>19</v>
      </c>
      <c r="D37" s="44">
        <v>1</v>
      </c>
      <c r="E37" s="44">
        <v>1</v>
      </c>
      <c r="F37" s="44">
        <v>18.399999999999999</v>
      </c>
      <c r="G37" s="44">
        <v>1</v>
      </c>
      <c r="H37" s="44">
        <v>1</v>
      </c>
      <c r="I37" s="3">
        <v>0.39400000000000002</v>
      </c>
      <c r="J37" s="45">
        <f t="shared" si="1"/>
        <v>1</v>
      </c>
      <c r="K37" s="14" t="str">
        <f>IF($J37=1,"",Tables!O$43-Tables!O51)</f>
        <v/>
      </c>
      <c r="L37" s="14" t="str">
        <f>IF($J37=1,"",Tables!P$43-Tables!P51)</f>
        <v/>
      </c>
      <c r="M37" s="14" t="str">
        <f>IF($J37=1,"",Tables!Q$43-Tables!Q51)</f>
        <v/>
      </c>
      <c r="N37" s="14" t="str">
        <f>IF($J37=1,"",Tables!R$43-Tables!R51)</f>
        <v/>
      </c>
    </row>
    <row r="38" spans="1:18">
      <c r="A38" s="45">
        <v>34</v>
      </c>
      <c r="B38" s="43" t="s">
        <v>49</v>
      </c>
      <c r="C38" s="44">
        <v>7.5</v>
      </c>
      <c r="D38" s="44">
        <v>0.7</v>
      </c>
      <c r="E38" s="44">
        <v>0.7</v>
      </c>
      <c r="F38" s="44">
        <v>6.9</v>
      </c>
      <c r="G38" s="44">
        <v>0.8</v>
      </c>
      <c r="H38" s="44">
        <v>0.8</v>
      </c>
      <c r="I38" s="3">
        <v>0.39400000000000002</v>
      </c>
      <c r="J38" s="45">
        <f t="shared" si="1"/>
        <v>1</v>
      </c>
      <c r="K38" s="14" t="str">
        <f>IF($J38=1,"",Tables!O$43-Tables!O52)</f>
        <v/>
      </c>
      <c r="L38" s="14" t="str">
        <f>IF($J38=1,"",Tables!P$43-Tables!P52)</f>
        <v/>
      </c>
      <c r="M38" s="14" t="str">
        <f>IF($J38=1,"",Tables!Q$43-Tables!Q52)</f>
        <v/>
      </c>
      <c r="N38" s="14" t="str">
        <f>IF($J38=1,"",Tables!R$43-Tables!R52)</f>
        <v/>
      </c>
    </row>
    <row r="39" spans="1:18">
      <c r="A39" s="45">
        <v>35</v>
      </c>
      <c r="B39" s="43" t="s">
        <v>50</v>
      </c>
      <c r="C39" s="44">
        <v>8.6999999999999993</v>
      </c>
      <c r="D39" s="44">
        <v>0.5</v>
      </c>
      <c r="E39" s="44">
        <v>0.5</v>
      </c>
      <c r="F39" s="44">
        <v>7.7</v>
      </c>
      <c r="G39" s="44">
        <v>0.5</v>
      </c>
      <c r="H39" s="44">
        <v>0.5</v>
      </c>
      <c r="I39" s="3">
        <v>0.39400000000000002</v>
      </c>
      <c r="J39" s="45">
        <f t="shared" si="1"/>
        <v>1</v>
      </c>
      <c r="K39" s="14" t="str">
        <f>IF($J39=1,"",Tables!O$43-Tables!O53)</f>
        <v/>
      </c>
      <c r="L39" s="14" t="str">
        <f>IF($J39=1,"",Tables!P$43-Tables!P53)</f>
        <v/>
      </c>
      <c r="M39" s="14" t="str">
        <f>IF($J39=1,"",Tables!Q$43-Tables!Q53)</f>
        <v/>
      </c>
      <c r="N39" s="14" t="str">
        <f>IF($J39=1,"",Tables!R$43-Tables!R53)</f>
        <v/>
      </c>
    </row>
    <row r="40" spans="1:18">
      <c r="A40" s="45">
        <v>36</v>
      </c>
      <c r="B40" s="43" t="s">
        <v>51</v>
      </c>
      <c r="C40" s="44">
        <v>12.7</v>
      </c>
      <c r="D40" s="44">
        <v>1.1000000000000001</v>
      </c>
      <c r="E40" s="44">
        <v>1.1000000000000001</v>
      </c>
      <c r="F40" s="44">
        <v>11</v>
      </c>
      <c r="G40" s="44">
        <v>1</v>
      </c>
      <c r="H40" s="44">
        <v>1</v>
      </c>
      <c r="I40" s="3">
        <v>0.39400000000000002</v>
      </c>
      <c r="J40" s="45">
        <f t="shared" si="1"/>
        <v>1</v>
      </c>
      <c r="K40" s="14" t="str">
        <f>IF($J40=1,"",Tables!O$43-Tables!O54)</f>
        <v/>
      </c>
      <c r="L40" s="14" t="str">
        <f>IF($J40=1,"",Tables!P$43-Tables!P54)</f>
        <v/>
      </c>
      <c r="M40" s="14" t="str">
        <f>IF($J40=1,"",Tables!Q$43-Tables!Q54)</f>
        <v/>
      </c>
      <c r="N40" s="14" t="str">
        <f>IF($J40=1,"",Tables!R$43-Tables!R54)</f>
        <v/>
      </c>
    </row>
    <row r="41" spans="1:18">
      <c r="A41" s="45">
        <v>37</v>
      </c>
      <c r="B41" s="43" t="s">
        <v>52</v>
      </c>
      <c r="C41" s="44">
        <v>2.2999999999999998</v>
      </c>
      <c r="D41" s="44">
        <v>0.1</v>
      </c>
      <c r="E41" s="44">
        <v>0.1</v>
      </c>
      <c r="F41" s="44">
        <v>1.9</v>
      </c>
      <c r="G41" s="44">
        <v>0.1</v>
      </c>
      <c r="H41" s="44">
        <v>0.1</v>
      </c>
      <c r="I41" s="3">
        <v>0.39400000000000002</v>
      </c>
      <c r="J41" s="45">
        <f t="shared" si="1"/>
        <v>1</v>
      </c>
      <c r="K41" s="14" t="str">
        <f>IF($J41=1,"",Tables!O$43-Tables!O55)</f>
        <v/>
      </c>
      <c r="L41" s="14" t="str">
        <f>IF($J41=1,"",Tables!P$43-Tables!P55)</f>
        <v/>
      </c>
      <c r="M41" s="14" t="str">
        <f>IF($J41=1,"",Tables!Q$43-Tables!Q55)</f>
        <v/>
      </c>
      <c r="N41" s="14" t="str">
        <f>IF($J41=1,"",Tables!R$43-Tables!R55)</f>
        <v/>
      </c>
    </row>
    <row r="42" spans="1:18">
      <c r="A42" s="45">
        <v>38</v>
      </c>
      <c r="B42" s="43" t="s">
        <v>53</v>
      </c>
      <c r="C42" s="44">
        <v>1.8</v>
      </c>
      <c r="D42" s="44">
        <v>0.1</v>
      </c>
      <c r="E42" s="44">
        <v>0.1</v>
      </c>
      <c r="F42" s="44">
        <v>1.5</v>
      </c>
      <c r="G42" s="44">
        <v>0.1</v>
      </c>
      <c r="H42" s="44">
        <v>0.1</v>
      </c>
      <c r="I42" s="3">
        <v>0.39400000000000002</v>
      </c>
    </row>
    <row r="43" spans="1:18">
      <c r="A43" s="45">
        <v>39</v>
      </c>
      <c r="B43" s="43" t="s">
        <v>54</v>
      </c>
      <c r="C43" s="44">
        <v>4.9000000000000004</v>
      </c>
      <c r="D43" s="44">
        <v>0.6</v>
      </c>
      <c r="E43" s="44">
        <v>0.6</v>
      </c>
      <c r="F43" s="44">
        <v>4.3</v>
      </c>
      <c r="G43" s="44">
        <v>0.3</v>
      </c>
      <c r="H43" s="44">
        <v>0.3</v>
      </c>
      <c r="I43" s="3">
        <v>0.39400000000000002</v>
      </c>
      <c r="M43" s="7" t="s">
        <v>13</v>
      </c>
      <c r="N43" s="13" t="s">
        <v>88</v>
      </c>
      <c r="O43" s="6">
        <f>Anthropometry!F4</f>
        <v>5</v>
      </c>
      <c r="P43" s="6">
        <f>100-Anthropometry!F4</f>
        <v>95</v>
      </c>
      <c r="Q43" s="6">
        <f>Anthropometry!F4/2</f>
        <v>2.5</v>
      </c>
      <c r="R43" s="6">
        <f>100-Anthropometry!F4/2</f>
        <v>97.5</v>
      </c>
    </row>
    <row r="44" spans="1:18">
      <c r="A44" s="45">
        <v>40</v>
      </c>
      <c r="B44" s="43" t="s">
        <v>55</v>
      </c>
      <c r="C44" s="44">
        <v>12.4</v>
      </c>
      <c r="D44" s="44">
        <v>2.4</v>
      </c>
      <c r="E44" s="44">
        <v>2.4</v>
      </c>
      <c r="F44" s="44">
        <v>9.9</v>
      </c>
      <c r="G44" s="44">
        <v>1.7</v>
      </c>
      <c r="H44" s="44">
        <v>1.7</v>
      </c>
      <c r="I44" s="3">
        <v>0.39400000000000002</v>
      </c>
      <c r="M44" s="7" t="s">
        <v>15</v>
      </c>
      <c r="N44" s="13"/>
      <c r="O44" s="2"/>
      <c r="P44" s="2"/>
      <c r="Q44" s="2"/>
      <c r="R44" s="2"/>
    </row>
    <row r="45" spans="1:18">
      <c r="A45" s="45">
        <v>41</v>
      </c>
      <c r="B45" s="43" t="s">
        <v>56</v>
      </c>
      <c r="C45" s="44">
        <v>10.5</v>
      </c>
      <c r="D45" s="44">
        <v>1.7</v>
      </c>
      <c r="E45" s="44">
        <v>1.7</v>
      </c>
      <c r="F45" s="44">
        <v>8.1</v>
      </c>
      <c r="G45" s="44">
        <v>1.7</v>
      </c>
      <c r="H45" s="44">
        <v>1.7</v>
      </c>
      <c r="I45" s="3">
        <v>0.39400000000000002</v>
      </c>
      <c r="M45" s="7" t="str">
        <f>INDEX(Tables!$B$5:$B$49,Anthropometry!A9,1)</f>
        <v>Stature {9}</v>
      </c>
      <c r="N45" s="13" t="str">
        <f>(IF(O45="","",IF(OR(ABS($O$43-O45)&gt;0.5,ABS($P$43-P45)&gt;0.5,ABS($Q$43-Q45)&gt;0.5,ABS($R$43-R45)&gt;0.5),"*","")))</f>
        <v/>
      </c>
      <c r="O45" s="6">
        <f>IF(Anthropometry!C9="","",(Anthropometry!$C$4*NORMSDIST((Anthropometry!C9-Tables!$K5)/Tables!K18)+Anthropometry!$D$4*NORMSDIST((Anthropometry!C9-Tables!$N5)/Tables!O18)))</f>
        <v>5.00066132484248</v>
      </c>
      <c r="P45" s="6">
        <f>IF(Anthropometry!D9="","",(Anthropometry!$C$4*NORMSDIST((Anthropometry!D9-Tables!$K5)/Tables!L18)+Anthropometry!$D$4*NORMSDIST((Anthropometry!D9-Tables!$N5)/Tables!P18)))</f>
        <v>94.998137981132103</v>
      </c>
      <c r="Q45" s="6">
        <f>IF(Anthropometry!E9="","",(Anthropometry!$C$4*NORMSDIST((Anthropometry!E9-Tables!$K5)/Tables!M18)+Anthropometry!$D$4*NORMSDIST((Anthropometry!E9-Tables!$N5)/Tables!Q18)))</f>
        <v>2.5002133116062391</v>
      </c>
      <c r="R45" s="6">
        <f>IF(Anthropometry!F9="","",(Anthropometry!$C$4*NORMSDIST((Anthropometry!F9-Tables!$K5)/Tables!N18)+Anthropometry!$D$4*NORMSDIST((Anthropometry!F9-Tables!$N5)/Tables!R18)))</f>
        <v>97.492804601795569</v>
      </c>
    </row>
    <row r="46" spans="1:18">
      <c r="A46" s="45">
        <v>42</v>
      </c>
      <c r="B46" s="43" t="s">
        <v>57</v>
      </c>
      <c r="C46" s="44">
        <v>15.3</v>
      </c>
      <c r="D46" s="44">
        <v>0.6</v>
      </c>
      <c r="E46" s="44">
        <v>0.6</v>
      </c>
      <c r="F46" s="44">
        <v>14.5</v>
      </c>
      <c r="G46" s="44">
        <v>0.6</v>
      </c>
      <c r="H46" s="44">
        <v>0.6</v>
      </c>
      <c r="I46" s="3">
        <v>0.39400000000000002</v>
      </c>
      <c r="M46" s="7" t="str">
        <f>INDEX(Tables!$B$5:$B$49,Anthropometry!A10,1)</f>
        <v>Weight {43}</v>
      </c>
      <c r="N46" s="13" t="str">
        <f t="shared" ref="N46:N55" si="2">(IF(O46="","",IF(OR(ABS($O$43-O46)&gt;0.5,ABS($P$43-P46)&gt;0.5,ABS($Q$43-Q46)&gt;0.5,ABS($R$43-R46)&gt;0.5),"*","")))</f>
        <v/>
      </c>
      <c r="O46" s="6">
        <f>IF(Anthropometry!C10="","",(Anthropometry!$C$4*NORMSDIST((Anthropometry!C10-Tables!$K6)/Tables!K19)+Anthropometry!$D$4*NORMSDIST((Anthropometry!C10-Tables!$N6)/Tables!O19)))</f>
        <v>5.0033557811829699</v>
      </c>
      <c r="P46" s="6">
        <f>IF(Anthropometry!D10="","",(Anthropometry!$C$4*NORMSDIST((Anthropometry!D10-Tables!$K6)/Tables!L19)+Anthropometry!$D$4*NORMSDIST((Anthropometry!D10-Tables!$N6)/Tables!P19)))</f>
        <v>94.995629976311221</v>
      </c>
      <c r="Q46" s="6">
        <f>IF(Anthropometry!E10="","",(Anthropometry!$C$4*NORMSDIST((Anthropometry!E10-Tables!$K6)/Tables!M19)+Anthropometry!$D$4*NORMSDIST((Anthropometry!E10-Tables!$N6)/Tables!Q19)))</f>
        <v>2.5052751868093988</v>
      </c>
      <c r="R46" s="6">
        <f>IF(Anthropometry!F10="","",(Anthropometry!$C$4*NORMSDIST((Anthropometry!F10-Tables!$K6)/Tables!N19)+Anthropometry!$D$4*NORMSDIST((Anthropometry!F10-Tables!$N6)/Tables!R19)))</f>
        <v>97.496034435523214</v>
      </c>
    </row>
    <row r="47" spans="1:18">
      <c r="A47" s="45">
        <v>43</v>
      </c>
      <c r="B47" s="43" t="s">
        <v>58</v>
      </c>
      <c r="C47" s="44">
        <v>6.1</v>
      </c>
      <c r="D47" s="44">
        <v>0.4</v>
      </c>
      <c r="E47" s="44">
        <v>0.4</v>
      </c>
      <c r="F47" s="44">
        <v>5.8</v>
      </c>
      <c r="G47" s="44">
        <v>0.4</v>
      </c>
      <c r="H47" s="44">
        <v>0.4</v>
      </c>
      <c r="I47" s="3">
        <v>0.39400000000000002</v>
      </c>
      <c r="M47" s="7" t="str">
        <f>INDEX(Tables!$B$5:$B$49,Anthropometry!A11,1)</f>
        <v>None</v>
      </c>
      <c r="N47" s="13" t="str">
        <f t="shared" si="2"/>
        <v/>
      </c>
      <c r="O47" s="6" t="str">
        <f>IF(Anthropometry!C11="","",(Anthropometry!$C$4*NORMSDIST((Anthropometry!C11-Tables!$K7)/Tables!K20)+Anthropometry!$D$4*NORMSDIST((Anthropometry!C11-Tables!$N7)/Tables!O20)))</f>
        <v/>
      </c>
      <c r="P47" s="6" t="str">
        <f>IF(Anthropometry!D11="","",(Anthropometry!$C$4*NORMSDIST((Anthropometry!D11-Tables!$K7)/Tables!L20)+Anthropometry!$D$4*NORMSDIST((Anthropometry!D11-Tables!$N7)/Tables!P20)))</f>
        <v/>
      </c>
      <c r="Q47" s="6" t="str">
        <f>IF(Anthropometry!E11="","",(Anthropometry!$C$4*NORMSDIST((Anthropometry!E11-Tables!$K7)/Tables!M20)+Anthropometry!$D$4*NORMSDIST((Anthropometry!E11-Tables!$N7)/Tables!Q20)))</f>
        <v/>
      </c>
      <c r="R47" s="6" t="str">
        <f>IF(Anthropometry!F11="","",(Anthropometry!$C$4*NORMSDIST((Anthropometry!F11-Tables!$K7)/Tables!N20)+Anthropometry!$D$4*NORMSDIST((Anthropometry!F11-Tables!$N7)/Tables!R20)))</f>
        <v/>
      </c>
    </row>
    <row r="48" spans="1:18">
      <c r="A48" s="45">
        <v>44</v>
      </c>
      <c r="B48" s="43" t="s">
        <v>59</v>
      </c>
      <c r="C48" s="44">
        <v>9.1999999999999993</v>
      </c>
      <c r="D48" s="44">
        <v>0.5</v>
      </c>
      <c r="E48" s="44">
        <v>0.5</v>
      </c>
      <c r="F48" s="44">
        <v>9</v>
      </c>
      <c r="G48" s="44">
        <v>0.5</v>
      </c>
      <c r="H48" s="44">
        <v>0.5</v>
      </c>
      <c r="I48" s="3">
        <v>0.39400000000000002</v>
      </c>
      <c r="M48" s="7" t="str">
        <f>INDEX(Tables!$B$5:$B$49,Anthropometry!A12,1)</f>
        <v>None</v>
      </c>
      <c r="N48" s="13" t="str">
        <f t="shared" si="2"/>
        <v/>
      </c>
      <c r="O48" s="6" t="str">
        <f>IF(Anthropometry!C12="","",(Anthropometry!$C$4*NORMSDIST((Anthropometry!C12-Tables!$K8)/Tables!K21)+Anthropometry!$D$4*NORMSDIST((Anthropometry!C12-Tables!$N8)/Tables!O21)))</f>
        <v/>
      </c>
      <c r="P48" s="6" t="str">
        <f>IF(Anthropometry!D12="","",(Anthropometry!$C$4*NORMSDIST((Anthropometry!D12-Tables!$K8)/Tables!L21)+Anthropometry!$D$4*NORMSDIST((Anthropometry!D12-Tables!$N8)/Tables!P21)))</f>
        <v/>
      </c>
      <c r="Q48" s="6" t="str">
        <f>IF(Anthropometry!E12="","",(Anthropometry!$C$4*NORMSDIST((Anthropometry!E12-Tables!$K8)/Tables!M21)+Anthropometry!$D$4*NORMSDIST((Anthropometry!E12-Tables!$N8)/Tables!Q21)))</f>
        <v/>
      </c>
      <c r="R48" s="6" t="str">
        <f>IF(Anthropometry!F12="","",(Anthropometry!$C$4*NORMSDIST((Anthropometry!F12-Tables!$K8)/Tables!N21)+Anthropometry!$D$4*NORMSDIST((Anthropometry!F12-Tables!$N8)/Tables!R21)))</f>
        <v/>
      </c>
    </row>
    <row r="49" spans="1:18">
      <c r="A49" s="45">
        <v>45</v>
      </c>
      <c r="B49" s="43" t="s">
        <v>60</v>
      </c>
      <c r="C49" s="44">
        <v>1</v>
      </c>
      <c r="D49" s="44">
        <v>1</v>
      </c>
      <c r="E49" s="44">
        <v>1</v>
      </c>
      <c r="F49" s="44">
        <v>1</v>
      </c>
      <c r="G49" s="44">
        <v>1</v>
      </c>
      <c r="H49" s="44">
        <v>1</v>
      </c>
      <c r="I49" s="3">
        <v>1</v>
      </c>
      <c r="M49" s="7" t="str">
        <f>INDEX(Tables!$B$5:$B$49,Anthropometry!A13,1)</f>
        <v>None</v>
      </c>
      <c r="N49" s="13" t="str">
        <f t="shared" si="2"/>
        <v/>
      </c>
      <c r="O49" s="6" t="str">
        <f>IF(Anthropometry!C13="","",(Anthropometry!$C$4*NORMSDIST((Anthropometry!C13-Tables!$K9)/Tables!K22)+Anthropometry!$D$4*NORMSDIST((Anthropometry!C13-Tables!$N9)/Tables!O22)))</f>
        <v/>
      </c>
      <c r="P49" s="6" t="str">
        <f>IF(Anthropometry!D13="","",(Anthropometry!$C$4*NORMSDIST((Anthropometry!D13-Tables!$K9)/Tables!L22)+Anthropometry!$D$4*NORMSDIST((Anthropometry!D13-Tables!$N9)/Tables!P22)))</f>
        <v/>
      </c>
      <c r="Q49" s="6" t="str">
        <f>IF(Anthropometry!E13="","",(Anthropometry!$C$4*NORMSDIST((Anthropometry!E13-Tables!$K9)/Tables!M22)+Anthropometry!$D$4*NORMSDIST((Anthropometry!E13-Tables!$N9)/Tables!Q22)))</f>
        <v/>
      </c>
      <c r="R49" s="6" t="str">
        <f>IF(Anthropometry!F13="","",(Anthropometry!$C$4*NORMSDIST((Anthropometry!F13-Tables!$K9)/Tables!N22)+Anthropometry!$D$4*NORMSDIST((Anthropometry!F13-Tables!$N9)/Tables!R22)))</f>
        <v/>
      </c>
    </row>
    <row r="50" spans="1:18">
      <c r="M50" s="7" t="str">
        <f>INDEX(Tables!$B$5:$B$49,Anthropometry!A14,1)</f>
        <v>None</v>
      </c>
      <c r="N50" s="13" t="str">
        <f t="shared" si="2"/>
        <v/>
      </c>
      <c r="O50" s="6" t="str">
        <f>IF(Anthropometry!C14="","",(Anthropometry!$C$4*NORMSDIST((Anthropometry!C14-Tables!$K10)/Tables!K23)+Anthropometry!$D$4*NORMSDIST((Anthropometry!C14-Tables!$N10)/Tables!O23)))</f>
        <v/>
      </c>
      <c r="P50" s="6" t="str">
        <f>IF(Anthropometry!D14="","",(Anthropometry!$C$4*NORMSDIST((Anthropometry!D14-Tables!$K10)/Tables!L23)+Anthropometry!$D$4*NORMSDIST((Anthropometry!D14-Tables!$N10)/Tables!P23)))</f>
        <v/>
      </c>
      <c r="Q50" s="6" t="str">
        <f>IF(Anthropometry!E14="","",(Anthropometry!$C$4*NORMSDIST((Anthropometry!E14-Tables!$K10)/Tables!M23)+Anthropometry!$D$4*NORMSDIST((Anthropometry!E14-Tables!$N10)/Tables!Q23)))</f>
        <v/>
      </c>
      <c r="R50" s="6" t="str">
        <f>IF(Anthropometry!F14="","",(Anthropometry!$C$4*NORMSDIST((Anthropometry!F14-Tables!$K10)/Tables!N23)+Anthropometry!$D$4*NORMSDIST((Anthropometry!F14-Tables!$N10)/Tables!R23)))</f>
        <v/>
      </c>
    </row>
    <row r="51" spans="1:18">
      <c r="B51" s="10" t="s">
        <v>20</v>
      </c>
      <c r="M51" s="7" t="str">
        <f>INDEX(Tables!$B$5:$B$49,Anthropometry!A15,1)</f>
        <v>None</v>
      </c>
      <c r="N51" s="13" t="str">
        <f t="shared" si="2"/>
        <v/>
      </c>
      <c r="O51" s="6" t="str">
        <f>IF(Anthropometry!C15="","",(Anthropometry!$C$4*NORMSDIST((Anthropometry!C15-Tables!$K11)/Tables!K24)+Anthropometry!$D$4*NORMSDIST((Anthropometry!C15-Tables!$N11)/Tables!O24)))</f>
        <v/>
      </c>
      <c r="P51" s="6" t="str">
        <f>IF(Anthropometry!D15="","",(Anthropometry!$C$4*NORMSDIST((Anthropometry!D15-Tables!$K11)/Tables!L24)+Anthropometry!$D$4*NORMSDIST((Anthropometry!D15-Tables!$N11)/Tables!P24)))</f>
        <v/>
      </c>
      <c r="Q51" s="6" t="str">
        <f>IF(Anthropometry!E15="","",(Anthropometry!$C$4*NORMSDIST((Anthropometry!E15-Tables!$K11)/Tables!M24)+Anthropometry!$D$4*NORMSDIST((Anthropometry!E15-Tables!$N11)/Tables!Q24)))</f>
        <v/>
      </c>
      <c r="R51" s="6" t="str">
        <f>IF(Anthropometry!F15="","",(Anthropometry!$C$4*NORMSDIST((Anthropometry!F15-Tables!$K11)/Tables!N24)+Anthropometry!$D$4*NORMSDIST((Anthropometry!F15-Tables!$N11)/Tables!R24)))</f>
        <v/>
      </c>
    </row>
    <row r="52" spans="1:18">
      <c r="B52" s="10" t="s">
        <v>21</v>
      </c>
      <c r="M52" s="7" t="str">
        <f>INDEX(Tables!$B$5:$B$49,Anthropometry!A16,1)</f>
        <v>None</v>
      </c>
      <c r="N52" s="13" t="str">
        <f t="shared" si="2"/>
        <v/>
      </c>
      <c r="O52" s="6" t="str">
        <f>IF(Anthropometry!C16="","",(Anthropometry!$C$4*NORMSDIST((Anthropometry!C16-Tables!$K12)/Tables!K25)+Anthropometry!$D$4*NORMSDIST((Anthropometry!C16-Tables!$N12)/Tables!O25)))</f>
        <v/>
      </c>
      <c r="P52" s="6" t="str">
        <f>IF(Anthropometry!D16="","",(Anthropometry!$C$4*NORMSDIST((Anthropometry!D16-Tables!$K12)/Tables!L25)+Anthropometry!$D$4*NORMSDIST((Anthropometry!D16-Tables!$N12)/Tables!P25)))</f>
        <v/>
      </c>
      <c r="Q52" s="6" t="str">
        <f>IF(Anthropometry!E16="","",(Anthropometry!$C$4*NORMSDIST((Anthropometry!E16-Tables!$K12)/Tables!M25)+Anthropometry!$D$4*NORMSDIST((Anthropometry!E16-Tables!$N12)/Tables!Q25)))</f>
        <v/>
      </c>
      <c r="R52" s="6" t="str">
        <f>IF(Anthropometry!F16="","",(Anthropometry!$C$4*NORMSDIST((Anthropometry!F16-Tables!$K12)/Tables!N25)+Anthropometry!$D$4*NORMSDIST((Anthropometry!F16-Tables!$N12)/Tables!R25)))</f>
        <v/>
      </c>
    </row>
    <row r="53" spans="1:18">
      <c r="B53" s="10" t="s">
        <v>22</v>
      </c>
      <c r="M53" s="7" t="str">
        <f>INDEX(Tables!$B$5:$B$49,Anthropometry!A17,1)</f>
        <v>None</v>
      </c>
      <c r="N53" s="13" t="str">
        <f t="shared" si="2"/>
        <v/>
      </c>
      <c r="O53" s="6" t="str">
        <f>IF(Anthropometry!C17="","",(Anthropometry!$C$4*NORMSDIST((Anthropometry!C17-Tables!$K13)/Tables!K26)+Anthropometry!$D$4*NORMSDIST((Anthropometry!C17-Tables!$N13)/Tables!O26)))</f>
        <v/>
      </c>
      <c r="P53" s="6" t="str">
        <f>IF(Anthropometry!D17="","",(Anthropometry!$C$4*NORMSDIST((Anthropometry!D17-Tables!$K13)/Tables!L26)+Anthropometry!$D$4*NORMSDIST((Anthropometry!D17-Tables!$N13)/Tables!P26)))</f>
        <v/>
      </c>
      <c r="Q53" s="6" t="str">
        <f>IF(Anthropometry!E17="","",(Anthropometry!$C$4*NORMSDIST((Anthropometry!E17-Tables!$K13)/Tables!M26)+Anthropometry!$D$4*NORMSDIST((Anthropometry!E17-Tables!$N13)/Tables!Q26)))</f>
        <v/>
      </c>
      <c r="R53" s="6" t="str">
        <f>IF(Anthropometry!F17="","",(Anthropometry!$C$4*NORMSDIST((Anthropometry!F17-Tables!$K13)/Tables!N26)+Anthropometry!$D$4*NORMSDIST((Anthropometry!F17-Tables!$N13)/Tables!R26)))</f>
        <v/>
      </c>
    </row>
    <row r="54" spans="1:18">
      <c r="B54" s="10" t="s">
        <v>23</v>
      </c>
      <c r="M54" s="7" t="str">
        <f>INDEX(Tables!$B$5:$B$49,Anthropometry!A18,1)</f>
        <v>None</v>
      </c>
      <c r="N54" s="13" t="str">
        <f t="shared" si="2"/>
        <v/>
      </c>
      <c r="O54" s="6" t="str">
        <f>IF(Anthropometry!C18="","",(Anthropometry!$C$4*NORMSDIST((Anthropometry!C18-Tables!$K14)/Tables!K27)+Anthropometry!$D$4*NORMSDIST((Anthropometry!C18-Tables!$N14)/Tables!O27)))</f>
        <v/>
      </c>
      <c r="P54" s="6" t="str">
        <f>IF(Anthropometry!D18="","",(Anthropometry!$C$4*NORMSDIST((Anthropometry!D18-Tables!$K14)/Tables!L27)+Anthropometry!$D$4*NORMSDIST((Anthropometry!D18-Tables!$N14)/Tables!P27)))</f>
        <v/>
      </c>
      <c r="Q54" s="6" t="str">
        <f>IF(Anthropometry!E18="","",(Anthropometry!$C$4*NORMSDIST((Anthropometry!E18-Tables!$K14)/Tables!M27)+Anthropometry!$D$4*NORMSDIST((Anthropometry!E18-Tables!$N14)/Tables!Q27)))</f>
        <v/>
      </c>
      <c r="R54" s="6" t="str">
        <f>IF(Anthropometry!F18="","",(Anthropometry!$C$4*NORMSDIST((Anthropometry!F18-Tables!$K14)/Tables!N27)+Anthropometry!$D$4*NORMSDIST((Anthropometry!F18-Tables!$N14)/Tables!R27)))</f>
        <v/>
      </c>
    </row>
    <row r="55" spans="1:18">
      <c r="B55" s="10" t="s">
        <v>24</v>
      </c>
      <c r="M55" s="7" t="str">
        <f>INDEX(Tables!$B$5:$B$49,Anthropometry!A19,1)</f>
        <v>None</v>
      </c>
      <c r="N55" s="13" t="str">
        <f t="shared" si="2"/>
        <v/>
      </c>
      <c r="O55" s="6" t="str">
        <f>IF(Anthropometry!C19="","",(Anthropometry!$C$4*NORMSDIST((Anthropometry!C19-Tables!$K15)/Tables!K28)+Anthropometry!$D$4*NORMSDIST((Anthropometry!C19-Tables!$N15)/Tables!O28)))</f>
        <v/>
      </c>
      <c r="P55" s="6" t="str">
        <f>IF(Anthropometry!D19="","",(Anthropometry!$C$4*NORMSDIST((Anthropometry!D19-Tables!$K15)/Tables!L28)+Anthropometry!$D$4*NORMSDIST((Anthropometry!D19-Tables!$N15)/Tables!P28)))</f>
        <v/>
      </c>
      <c r="Q55" s="6" t="str">
        <f>IF(Anthropometry!E19="","",(Anthropometry!$C$4*NORMSDIST((Anthropometry!E19-Tables!$K15)/Tables!M28)+Anthropometry!$D$4*NORMSDIST((Anthropometry!E19-Tables!$N15)/Tables!Q28)))</f>
        <v/>
      </c>
      <c r="R55" s="6" t="str">
        <f>IF(Anthropometry!F19="","",(Anthropometry!$C$4*NORMSDIST((Anthropometry!F19-Tables!$K15)/Tables!N28)+Anthropometry!$D$4*NORMSDIST((Anthropometry!F19-Tables!$N15)/Tables!R28)))</f>
        <v/>
      </c>
    </row>
    <row r="56" spans="1:18">
      <c r="B56" s="10" t="s">
        <v>90</v>
      </c>
    </row>
    <row r="57" spans="1:18">
      <c r="B57" s="10" t="s">
        <v>87</v>
      </c>
    </row>
    <row r="58" spans="1:18">
      <c r="B58" s="10" t="s">
        <v>25</v>
      </c>
    </row>
  </sheetData>
  <sheetProtection sheet="1" objects="1" scenarios="1"/>
  <mergeCells count="3">
    <mergeCell ref="C3:E3"/>
    <mergeCell ref="F3:H3"/>
    <mergeCell ref="C1:H1"/>
  </mergeCells>
  <phoneticPr fontId="0" type="noConversion"/>
  <pageMargins left="0.75" right="0.75" top="1" bottom="1" header="0.5" footer="0.5"/>
  <pageSetup scale="68" orientation="portrait" horizontalDpi="4294967292" verticalDpi="429496729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3"/>
  <sheetViews>
    <sheetView showGridLines="0" showRowColHeaders="0" workbookViewId="0"/>
  </sheetViews>
  <sheetFormatPr defaultColWidth="11.42578125" defaultRowHeight="12.75"/>
  <sheetData>
    <row r="1" spans="1:1" ht="15.75">
      <c r="A1" s="1" t="s">
        <v>86</v>
      </c>
    </row>
    <row r="2" spans="1:1">
      <c r="A2" s="10" t="s">
        <v>35</v>
      </c>
    </row>
    <row r="3" spans="1:1">
      <c r="A3" s="10" t="s">
        <v>36</v>
      </c>
    </row>
  </sheetData>
  <sheetProtection sheet="1" objects="1" scenarios="1"/>
  <phoneticPr fontId="0" type="noConversion"/>
  <pageMargins left="0.75" right="0.75" top="1" bottom="1" header="0.5" footer="0.5"/>
  <pageSetup paperSize="0" scale="82" orientation="landscape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Anthropometry</vt:lpstr>
      <vt:lpstr>Tables</vt:lpstr>
      <vt:lpstr>Reference Points</vt:lpstr>
      <vt:lpstr>Tables!Print_Area</vt:lpstr>
    </vt:vector>
  </TitlesOfParts>
  <Company>Advisor-to-Some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Door Mouse</dc:creator>
  <cp:lastModifiedBy>Mark Anderson</cp:lastModifiedBy>
  <cp:lastPrinted>2000-10-07T23:09:21Z</cp:lastPrinted>
  <dcterms:created xsi:type="dcterms:W3CDTF">1999-12-27T16:22:14Z</dcterms:created>
  <dcterms:modified xsi:type="dcterms:W3CDTF">2021-01-14T17:42:22Z</dcterms:modified>
</cp:coreProperties>
</file>